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G:\CSBA\Marketing\Pollination Surveys\"/>
    </mc:Choice>
  </mc:AlternateContent>
  <xr:revisionPtr revIDLastSave="0" documentId="8_{E2D988CE-E8D9-4982-B86C-C3EF1CE03452}" xr6:coauthVersionLast="47" xr6:coauthVersionMax="47" xr10:uidLastSave="{00000000-0000-0000-0000-000000000000}"/>
  <workbookProtection workbookAlgorithmName="SHA-512" workbookHashValue="jNopx1XLFregXN18BecBcrHggUaGfG2t6dUz/uTsIiFqBsJwUAJwpqNcYKpYjcKqSB5Smv/bqJm2mYBbZvbieQ==" workbookSaltValue="xI396C8Q/WhF26L+mfNh1g==" workbookSpinCount="100000" lockStructure="1"/>
  <bookViews>
    <workbookView xWindow="28680" yWindow="-120" windowWidth="29040" windowHeight="15840" xr2:uid="{00000000-000D-0000-FFFF-FFFF00000000}"/>
  </bookViews>
  <sheets>
    <sheet name="Summary" sheetId="2" r:id="rId1"/>
    <sheet name="Individual Response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22" i="1" l="1"/>
  <c r="V22" i="1"/>
  <c r="W22" i="1"/>
  <c r="X22" i="1"/>
  <c r="W23" i="1"/>
  <c r="X23" i="1"/>
  <c r="U56" i="1" l="1"/>
  <c r="V56" i="1"/>
  <c r="I32" i="2" s="1"/>
  <c r="W56" i="1"/>
  <c r="X56" i="1"/>
  <c r="W57" i="1"/>
  <c r="X57" i="1"/>
  <c r="A43" i="2"/>
  <c r="L14" i="1"/>
  <c r="L15" i="1" s="1"/>
  <c r="M14" i="1"/>
  <c r="M70" i="1" s="1"/>
  <c r="N14" i="1"/>
  <c r="N70" i="1" s="1"/>
  <c r="O14" i="1"/>
  <c r="O15" i="1" s="1"/>
  <c r="W6" i="1"/>
  <c r="D6" i="2" s="1"/>
  <c r="C14" i="1"/>
  <c r="C15" i="1" s="1"/>
  <c r="D14" i="1"/>
  <c r="D70" i="1" s="1"/>
  <c r="E14" i="1"/>
  <c r="E70" i="1" s="1"/>
  <c r="F14" i="1"/>
  <c r="F15" i="1" s="1"/>
  <c r="G14" i="1"/>
  <c r="G70" i="1" s="1"/>
  <c r="H14" i="1"/>
  <c r="H70" i="1" s="1"/>
  <c r="I14" i="1"/>
  <c r="I70" i="1" s="1"/>
  <c r="J14" i="1"/>
  <c r="J15" i="1" s="1"/>
  <c r="K14" i="1"/>
  <c r="K70" i="1" s="1"/>
  <c r="P14" i="1"/>
  <c r="P70" i="1" s="1"/>
  <c r="T14" i="1"/>
  <c r="T15" i="1" s="1"/>
  <c r="Q14" i="1"/>
  <c r="Q15" i="1" s="1"/>
  <c r="R14" i="1"/>
  <c r="R15" i="1" s="1"/>
  <c r="S14" i="1"/>
  <c r="S15" i="1" s="1"/>
  <c r="V48" i="1"/>
  <c r="I28" i="2" s="1"/>
  <c r="V46" i="1"/>
  <c r="I27" i="2" s="1"/>
  <c r="U67" i="1"/>
  <c r="V5" i="1"/>
  <c r="I6" i="2" s="1"/>
  <c r="U5" i="1"/>
  <c r="F6" i="2" s="1"/>
  <c r="X6" i="1"/>
  <c r="X9" i="1"/>
  <c r="E8" i="2" s="1"/>
  <c r="X10" i="1"/>
  <c r="X11" i="1"/>
  <c r="E9" i="2" s="1"/>
  <c r="X12" i="1"/>
  <c r="X13" i="1"/>
  <c r="E10" i="2" s="1"/>
  <c r="X16" i="1"/>
  <c r="X17" i="1"/>
  <c r="E12" i="2" s="1"/>
  <c r="X18" i="1"/>
  <c r="X19" i="1"/>
  <c r="E13" i="2" s="1"/>
  <c r="X20" i="1"/>
  <c r="X21" i="1"/>
  <c r="E14" i="2" s="1"/>
  <c r="E15" i="2"/>
  <c r="X24" i="1"/>
  <c r="X25" i="1"/>
  <c r="E16" i="2" s="1"/>
  <c r="X26" i="1"/>
  <c r="X27" i="1"/>
  <c r="E17" i="2" s="1"/>
  <c r="X28" i="1"/>
  <c r="X29" i="1"/>
  <c r="E18" i="2" s="1"/>
  <c r="X30" i="1"/>
  <c r="X31" i="1"/>
  <c r="E19" i="2" s="1"/>
  <c r="X32" i="1"/>
  <c r="X33" i="1"/>
  <c r="E20" i="2" s="1"/>
  <c r="X34" i="1"/>
  <c r="X35" i="1"/>
  <c r="E21" i="2" s="1"/>
  <c r="X36" i="1"/>
  <c r="X37" i="1"/>
  <c r="E22" i="2" s="1"/>
  <c r="X38" i="1"/>
  <c r="X39" i="1"/>
  <c r="X40" i="1"/>
  <c r="X41" i="1"/>
  <c r="E24" i="2" s="1"/>
  <c r="X42" i="1"/>
  <c r="X43" i="1"/>
  <c r="E25" i="2" s="1"/>
  <c r="X44" i="1"/>
  <c r="X45" i="1"/>
  <c r="E26" i="2" s="1"/>
  <c r="X46" i="1"/>
  <c r="X47" i="1"/>
  <c r="E27" i="2" s="1"/>
  <c r="X48" i="1"/>
  <c r="X49" i="1"/>
  <c r="E28" i="2" s="1"/>
  <c r="X50" i="1"/>
  <c r="X51" i="1"/>
  <c r="E29" i="2" s="1"/>
  <c r="X52" i="1"/>
  <c r="X53" i="1"/>
  <c r="E30" i="2" s="1"/>
  <c r="X54" i="1"/>
  <c r="X55" i="1"/>
  <c r="E31" i="2" s="1"/>
  <c r="E32" i="2"/>
  <c r="X58" i="1"/>
  <c r="X59" i="1"/>
  <c r="E33" i="2" s="1"/>
  <c r="X60" i="1"/>
  <c r="X61" i="1"/>
  <c r="E34" i="2" s="1"/>
  <c r="X62" i="1"/>
  <c r="X63" i="1"/>
  <c r="E35" i="2" s="1"/>
  <c r="X64" i="1"/>
  <c r="X65" i="1"/>
  <c r="E36" i="2" s="1"/>
  <c r="X8" i="1"/>
  <c r="X5" i="1"/>
  <c r="W9" i="1"/>
  <c r="D8" i="2" s="1"/>
  <c r="W10" i="1"/>
  <c r="W11" i="1"/>
  <c r="D9" i="2" s="1"/>
  <c r="W12" i="1"/>
  <c r="W13" i="1"/>
  <c r="D10" i="2" s="1"/>
  <c r="W16" i="1"/>
  <c r="W17" i="1"/>
  <c r="D12" i="2" s="1"/>
  <c r="W18" i="1"/>
  <c r="W19" i="1"/>
  <c r="D13" i="2" s="1"/>
  <c r="W20" i="1"/>
  <c r="W21" i="1"/>
  <c r="D15" i="2"/>
  <c r="W24" i="1"/>
  <c r="W25" i="1"/>
  <c r="D16" i="2" s="1"/>
  <c r="W26" i="1"/>
  <c r="W27" i="1"/>
  <c r="D17" i="2" s="1"/>
  <c r="W28" i="1"/>
  <c r="W29" i="1"/>
  <c r="D18" i="2" s="1"/>
  <c r="W30" i="1"/>
  <c r="W31" i="1"/>
  <c r="D19" i="2" s="1"/>
  <c r="W32" i="1"/>
  <c r="W33" i="1"/>
  <c r="D20" i="2" s="1"/>
  <c r="W34" i="1"/>
  <c r="W35" i="1"/>
  <c r="D21" i="2" s="1"/>
  <c r="W36" i="1"/>
  <c r="W37" i="1"/>
  <c r="D22" i="2" s="1"/>
  <c r="W38" i="1"/>
  <c r="W39" i="1"/>
  <c r="D23" i="2" s="1"/>
  <c r="W40" i="1"/>
  <c r="W41" i="1"/>
  <c r="D24" i="2" s="1"/>
  <c r="W42" i="1"/>
  <c r="W43" i="1"/>
  <c r="D25" i="2" s="1"/>
  <c r="W44" i="1"/>
  <c r="W45" i="1"/>
  <c r="D26" i="2" s="1"/>
  <c r="W46" i="1"/>
  <c r="W47" i="1"/>
  <c r="D27" i="2" s="1"/>
  <c r="W48" i="1"/>
  <c r="W49" i="1"/>
  <c r="D28" i="2" s="1"/>
  <c r="W50" i="1"/>
  <c r="W51" i="1"/>
  <c r="D29" i="2" s="1"/>
  <c r="W52" i="1"/>
  <c r="W53" i="1"/>
  <c r="D30" i="2" s="1"/>
  <c r="W54" i="1"/>
  <c r="W55" i="1"/>
  <c r="D31" i="2" s="1"/>
  <c r="W58" i="1"/>
  <c r="W59" i="1"/>
  <c r="D33" i="2" s="1"/>
  <c r="W60" i="1"/>
  <c r="W61" i="1"/>
  <c r="D34" i="2" s="1"/>
  <c r="W62" i="1"/>
  <c r="W63" i="1"/>
  <c r="D35" i="2" s="1"/>
  <c r="W64" i="1"/>
  <c r="W65" i="1"/>
  <c r="D36" i="2" s="1"/>
  <c r="W8" i="1"/>
  <c r="W5" i="1"/>
  <c r="V36" i="1"/>
  <c r="I22" i="2" s="1"/>
  <c r="V16" i="1"/>
  <c r="I12" i="2" s="1"/>
  <c r="V18" i="1"/>
  <c r="I13" i="2" s="1"/>
  <c r="V20" i="1"/>
  <c r="I14" i="2" s="1"/>
  <c r="I15" i="2"/>
  <c r="V24" i="1"/>
  <c r="I16" i="2" s="1"/>
  <c r="V26" i="1"/>
  <c r="I17" i="2" s="1"/>
  <c r="V28" i="1"/>
  <c r="I18" i="2" s="1"/>
  <c r="V30" i="1"/>
  <c r="I19" i="2" s="1"/>
  <c r="V32" i="1"/>
  <c r="I20" i="2" s="1"/>
  <c r="V34" i="1"/>
  <c r="I21" i="2" s="1"/>
  <c r="V38" i="1"/>
  <c r="I23" i="2" s="1"/>
  <c r="V40" i="1"/>
  <c r="I24" i="2" s="1"/>
  <c r="V42" i="1"/>
  <c r="I25" i="2" s="1"/>
  <c r="V44" i="1"/>
  <c r="I26" i="2" s="1"/>
  <c r="V50" i="1"/>
  <c r="I29" i="2" s="1"/>
  <c r="V52" i="1"/>
  <c r="I30" i="2" s="1"/>
  <c r="V54" i="1"/>
  <c r="I31" i="2" s="1"/>
  <c r="V58" i="1"/>
  <c r="I33" i="2" s="1"/>
  <c r="V60" i="1"/>
  <c r="I34" i="2" s="1"/>
  <c r="V62" i="1"/>
  <c r="I35" i="2" s="1"/>
  <c r="V64" i="1"/>
  <c r="I36" i="2" s="1"/>
  <c r="V12" i="1"/>
  <c r="I10" i="2" s="1"/>
  <c r="V10" i="1"/>
  <c r="I9" i="2" s="1"/>
  <c r="V8" i="1"/>
  <c r="I8" i="2" s="1"/>
  <c r="U62" i="1"/>
  <c r="F35" i="2" s="1"/>
  <c r="U20" i="1"/>
  <c r="F14" i="2" s="1"/>
  <c r="F15" i="2"/>
  <c r="U24" i="1"/>
  <c r="F16" i="2" s="1"/>
  <c r="U26" i="1"/>
  <c r="F17" i="2" s="1"/>
  <c r="U28" i="1"/>
  <c r="F18" i="2" s="1"/>
  <c r="U30" i="1"/>
  <c r="F19" i="2" s="1"/>
  <c r="U32" i="1"/>
  <c r="F20" i="2" s="1"/>
  <c r="U34" i="1"/>
  <c r="F21" i="2" s="1"/>
  <c r="U36" i="1"/>
  <c r="F22" i="2" s="1"/>
  <c r="U38" i="1"/>
  <c r="F23" i="2" s="1"/>
  <c r="U40" i="1"/>
  <c r="F24" i="2" s="1"/>
  <c r="U42" i="1"/>
  <c r="F25" i="2" s="1"/>
  <c r="U44" i="1"/>
  <c r="F26" i="2" s="1"/>
  <c r="U46" i="1"/>
  <c r="F27" i="2" s="1"/>
  <c r="U48" i="1"/>
  <c r="F28" i="2" s="1"/>
  <c r="U50" i="1"/>
  <c r="F29" i="2" s="1"/>
  <c r="U52" i="1"/>
  <c r="F30" i="2" s="1"/>
  <c r="U54" i="1"/>
  <c r="F31" i="2" s="1"/>
  <c r="F32" i="2"/>
  <c r="U58" i="1"/>
  <c r="F33" i="2" s="1"/>
  <c r="U60" i="1"/>
  <c r="F34" i="2" s="1"/>
  <c r="U64" i="1"/>
  <c r="F36" i="2" s="1"/>
  <c r="U18" i="1"/>
  <c r="F13" i="2" s="1"/>
  <c r="U16" i="1"/>
  <c r="F12" i="2" s="1"/>
  <c r="U10" i="1"/>
  <c r="F9" i="2" s="1"/>
  <c r="U12" i="1"/>
  <c r="F10" i="2" s="1"/>
  <c r="U8" i="1"/>
  <c r="F8" i="2" s="1"/>
  <c r="X7" i="1"/>
  <c r="E7" i="2" s="1"/>
  <c r="A39" i="2"/>
  <c r="J43" i="2"/>
  <c r="A38" i="2"/>
  <c r="G42" i="2"/>
  <c r="G43" i="2"/>
  <c r="J40" i="2"/>
  <c r="J41" i="2"/>
  <c r="G40" i="2"/>
  <c r="G41" i="2"/>
  <c r="C6" i="2"/>
  <c r="E6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0" i="2"/>
  <c r="C9" i="2"/>
  <c r="C8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  <c r="D7" i="2"/>
  <c r="C7" i="2"/>
  <c r="D32" i="2"/>
  <c r="E23" i="2"/>
  <c r="D14" i="2"/>
  <c r="G18" i="2" l="1"/>
  <c r="T70" i="1"/>
  <c r="E15" i="1"/>
  <c r="R70" i="1"/>
  <c r="G14" i="2"/>
  <c r="G30" i="2"/>
  <c r="G12" i="2"/>
  <c r="G22" i="2"/>
  <c r="G28" i="2"/>
  <c r="Q70" i="1"/>
  <c r="K15" i="1"/>
  <c r="O70" i="1"/>
  <c r="G35" i="2"/>
  <c r="G23" i="2"/>
  <c r="S70" i="1"/>
  <c r="P15" i="1"/>
  <c r="G26" i="2"/>
  <c r="G20" i="2"/>
  <c r="G36" i="2"/>
  <c r="G32" i="2"/>
  <c r="G13" i="2"/>
  <c r="G29" i="2"/>
  <c r="G31" i="2"/>
  <c r="G15" i="2"/>
  <c r="G6" i="2"/>
  <c r="C70" i="1"/>
  <c r="G21" i="2"/>
  <c r="G16" i="2"/>
  <c r="G24" i="2"/>
  <c r="G17" i="2"/>
  <c r="G25" i="2"/>
  <c r="G33" i="2"/>
  <c r="G34" i="2"/>
  <c r="G27" i="2"/>
  <c r="L70" i="1"/>
  <c r="F70" i="1"/>
  <c r="I15" i="1"/>
  <c r="G10" i="2"/>
  <c r="G9" i="2"/>
  <c r="C11" i="2"/>
  <c r="J70" i="1"/>
  <c r="V14" i="1"/>
  <c r="I11" i="2" s="1"/>
  <c r="G15" i="1"/>
  <c r="V69" i="1"/>
  <c r="F39" i="2" s="1"/>
  <c r="G45" i="2" s="1"/>
  <c r="G8" i="2"/>
  <c r="G19" i="2"/>
  <c r="X14" i="1"/>
  <c r="H15" i="1"/>
  <c r="N15" i="1"/>
  <c r="W14" i="1"/>
  <c r="D15" i="1"/>
  <c r="M15" i="1"/>
  <c r="U68" i="1" l="1"/>
  <c r="F38" i="2" s="1"/>
  <c r="V2" i="1"/>
  <c r="U70" i="1"/>
  <c r="F40" i="2" s="1"/>
  <c r="H43" i="2"/>
  <c r="X15" i="1"/>
  <c r="E11" i="2" s="1"/>
  <c r="U14" i="1"/>
  <c r="F11" i="2" s="1"/>
  <c r="W15" i="1"/>
  <c r="D11" i="2" s="1"/>
  <c r="H45" i="2" l="1"/>
  <c r="I45" i="2" s="1"/>
  <c r="I42" i="2"/>
  <c r="J42" i="2" s="1"/>
  <c r="G11" i="2"/>
</calcChain>
</file>

<file path=xl/sharedStrings.xml><?xml version="1.0" encoding="utf-8"?>
<sst xmlns="http://schemas.openxmlformats.org/spreadsheetml/2006/main" count="179" uniqueCount="104">
  <si>
    <t>PROJECTED VS. ACTUAL ALMOND POLLINATION FEES PER COLONY FROM PREVIOUS SURVEYS</t>
  </si>
  <si>
    <t>Other Variables:*</t>
  </si>
  <si>
    <t>Beekeeper Total Number Pollinated Crops</t>
  </si>
  <si>
    <t>AVERAGE NUMBER OF POLLINATED CROPS PER RESPONDENT</t>
  </si>
  <si>
    <t>Projected Almond Pollination Fee per Colony</t>
  </si>
  <si>
    <t>Average Projection</t>
  </si>
  <si>
    <t xml:space="preserve"> </t>
  </si>
  <si>
    <t xml:space="preserve">  </t>
  </si>
  <si>
    <t>Number of Colonies</t>
  </si>
  <si>
    <t>Rental Fee Per Colony</t>
  </si>
  <si>
    <t>Alfalfa Seed</t>
  </si>
  <si>
    <t>Individual Number:</t>
  </si>
  <si>
    <t>Weighted Average Fee/Colony</t>
  </si>
  <si>
    <t>Almonds</t>
  </si>
  <si>
    <t>Kern-Madera</t>
  </si>
  <si>
    <t>Number Observations</t>
  </si>
  <si>
    <t xml:space="preserve">Max </t>
  </si>
  <si>
    <t>Min</t>
  </si>
  <si>
    <t>Merced-San Joaquin</t>
  </si>
  <si>
    <t>Total CA</t>
  </si>
  <si>
    <t>Apples</t>
  </si>
  <si>
    <t>Apricots</t>
  </si>
  <si>
    <t>Avocados N/C</t>
  </si>
  <si>
    <t>Bush or Cane Berries</t>
  </si>
  <si>
    <t>Cherries (Late)</t>
  </si>
  <si>
    <t>Cherries (Early)</t>
  </si>
  <si>
    <t>Clover Seed</t>
  </si>
  <si>
    <t>Corriander</t>
  </si>
  <si>
    <t>Kiwis</t>
  </si>
  <si>
    <t>Melons (Watermelons)</t>
  </si>
  <si>
    <t>Melons (All Others)</t>
  </si>
  <si>
    <t>Onion Seed</t>
  </si>
  <si>
    <t>Plums</t>
  </si>
  <si>
    <t>Pluots</t>
  </si>
  <si>
    <t>Pumpkins</t>
  </si>
  <si>
    <t>Prunes</t>
  </si>
  <si>
    <t>Prunes N/C</t>
  </si>
  <si>
    <t>Quince</t>
  </si>
  <si>
    <t>Squash</t>
  </si>
  <si>
    <t>Sunflowers Rent</t>
  </si>
  <si>
    <t>Vegetable Seed (Hives)</t>
  </si>
  <si>
    <t>Vegetable Seed (Nucs)</t>
  </si>
  <si>
    <t>Number Colonies Sent out of state for Honey Production</t>
  </si>
  <si>
    <t>Estimated Winter Mortality Rate (%)</t>
  </si>
  <si>
    <t>Other notes</t>
  </si>
  <si>
    <t>Weighted Average Rental Fee Per Colony</t>
  </si>
  <si>
    <t xml:space="preserve">Total Beekeeper Responses Used: </t>
  </si>
  <si>
    <t>CROP</t>
  </si>
  <si>
    <t>NUMBER</t>
  </si>
  <si>
    <t>HIGH</t>
  </si>
  <si>
    <t xml:space="preserve">LOW </t>
  </si>
  <si>
    <t>AVERAGE</t>
  </si>
  <si>
    <t>TOTAL $</t>
  </si>
  <si>
    <t>NUMBER OF</t>
  </si>
  <si>
    <t>OF RENTALS</t>
  </si>
  <si>
    <t>FEE</t>
  </si>
  <si>
    <t>INCOME</t>
  </si>
  <si>
    <t>BEEKEEPERS</t>
  </si>
  <si>
    <t>ALFALFA SEED</t>
  </si>
  <si>
    <t>ALMONDS</t>
  </si>
  <si>
    <t>KERN-MADERA</t>
  </si>
  <si>
    <t>MERCED-SAN JQN.</t>
  </si>
  <si>
    <t>SACRAMENTO-NORTH</t>
  </si>
  <si>
    <t>TOTAL CA</t>
  </si>
  <si>
    <t>APPLES</t>
  </si>
  <si>
    <t>APRICOTS</t>
  </si>
  <si>
    <t>AVOCADOS RENT</t>
  </si>
  <si>
    <t>AVOCADOS N/C</t>
  </si>
  <si>
    <t>BUSH OR CANE BERRIES</t>
  </si>
  <si>
    <t>CHERRIES (LATE)</t>
  </si>
  <si>
    <t>CHERRIES (EARLY)</t>
  </si>
  <si>
    <t xml:space="preserve">CLOVER SEED </t>
  </si>
  <si>
    <t>KIWIS RENT</t>
  </si>
  <si>
    <t>MELONS (WATERMELONS)</t>
  </si>
  <si>
    <t>MELONS (ALL OTHERS)</t>
  </si>
  <si>
    <t>ONION SEED</t>
  </si>
  <si>
    <t>PLUMS</t>
  </si>
  <si>
    <t>PUMPKINS</t>
  </si>
  <si>
    <t>PRUNES</t>
  </si>
  <si>
    <t>PRUNES N/C</t>
  </si>
  <si>
    <t>SQUASH</t>
  </si>
  <si>
    <t>SUNFLOWERS RENT</t>
  </si>
  <si>
    <t>VEGETABLE SEED (HIVES)</t>
  </si>
  <si>
    <t>VEGETABLE SEED (NUCS)</t>
  </si>
  <si>
    <t>YEAR</t>
  </si>
  <si>
    <t>PROJECTED</t>
  </si>
  <si>
    <t>ACTUAL</t>
  </si>
  <si>
    <t>DIFFERENCE</t>
  </si>
  <si>
    <t>CORRIANDER</t>
    <phoneticPr fontId="0" type="noConversion"/>
  </si>
  <si>
    <t>PLUOTS</t>
    <phoneticPr fontId="0" type="noConversion"/>
  </si>
  <si>
    <t>QUINCE</t>
    <phoneticPr fontId="0" type="noConversion"/>
  </si>
  <si>
    <t>Blueberries</t>
  </si>
  <si>
    <t>BLUEBERRIES</t>
  </si>
  <si>
    <t>* Includes responses by brokers</t>
  </si>
  <si>
    <t>Crop</t>
  </si>
  <si>
    <t>CSBA POLLINATION SURVEY RESULTS</t>
  </si>
  <si>
    <t>Total Number of Survey Respondents: 13</t>
  </si>
  <si>
    <t>Sacramento-Butte</t>
  </si>
  <si>
    <t>Seed Cucumbers</t>
  </si>
  <si>
    <t>SEED CUCUMBERS</t>
  </si>
  <si>
    <t>Avocados</t>
  </si>
  <si>
    <t>Other crops</t>
  </si>
  <si>
    <t>brocoli</t>
  </si>
  <si>
    <t>Coriander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</si>
</sst>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sz val="10"/>
      <color theme="0"/>
      <name val="Calibri"/>
      <family val="2"/>
      <scheme val="minor"/>
    </font>
    <font>
      <u val="singleAccounting"/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22"/>
      <name val="Arial Black"/>
      <family val="2"/>
    </font>
    <font>
      <u val="singleAccounting"/>
      <sz val="11"/>
      <color theme="1"/>
      <name val="Calibri"/>
      <family val="2"/>
      <scheme val="minor"/>
    </font>
    <font>
      <sz val="8"/>
      <name val="Verdana"/>
      <family val="2"/>
    </font>
    <font>
      <b/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0" fillId="0" borderId="0" xfId="0" applyBorder="1"/>
    <xf numFmtId="0" fontId="0" fillId="4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44" fontId="0" fillId="4" borderId="0" xfId="2" applyFont="1" applyFill="1" applyBorder="1"/>
    <xf numFmtId="44" fontId="0" fillId="0" borderId="0" xfId="2" applyFont="1" applyBorder="1"/>
    <xf numFmtId="0" fontId="2" fillId="4" borderId="0" xfId="0" applyFont="1" applyFill="1" applyBorder="1"/>
    <xf numFmtId="44" fontId="4" fillId="0" borderId="6" xfId="2" applyFont="1" applyBorder="1"/>
    <xf numFmtId="0" fontId="0" fillId="0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8" xfId="0" applyFill="1" applyBorder="1"/>
    <xf numFmtId="0" fontId="0" fillId="0" borderId="2" xfId="0" applyFill="1" applyBorder="1"/>
    <xf numFmtId="0" fontId="0" fillId="4" borderId="9" xfId="0" applyFill="1" applyBorder="1"/>
    <xf numFmtId="164" fontId="0" fillId="5" borderId="8" xfId="1" applyNumberFormat="1" applyFont="1" applyFill="1" applyBorder="1" applyAlignment="1" applyProtection="1">
      <alignment horizontal="center"/>
      <protection hidden="1"/>
    </xf>
    <xf numFmtId="44" fontId="0" fillId="5" borderId="2" xfId="2" applyFont="1" applyFill="1" applyBorder="1" applyAlignment="1" applyProtection="1">
      <alignment horizontal="center"/>
      <protection hidden="1"/>
    </xf>
    <xf numFmtId="0" fontId="0" fillId="5" borderId="8" xfId="0" applyFill="1" applyBorder="1"/>
    <xf numFmtId="0" fontId="0" fillId="5" borderId="2" xfId="0" applyFill="1" applyBorder="1"/>
    <xf numFmtId="164" fontId="3" fillId="5" borderId="8" xfId="1" applyNumberFormat="1" applyFont="1" applyFill="1" applyBorder="1" applyAlignment="1" applyProtection="1">
      <alignment horizontal="center"/>
      <protection hidden="1"/>
    </xf>
    <xf numFmtId="44" fontId="3" fillId="5" borderId="2" xfId="2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>
      <alignment horizontal="center"/>
    </xf>
    <xf numFmtId="0" fontId="0" fillId="0" borderId="2" xfId="0" applyBorder="1"/>
    <xf numFmtId="0" fontId="4" fillId="0" borderId="5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Protection="1">
      <protection hidden="1"/>
    </xf>
    <xf numFmtId="43" fontId="7" fillId="2" borderId="0" xfId="0" applyNumberFormat="1" applyFont="1" applyFill="1" applyBorder="1" applyProtection="1">
      <protection hidden="1"/>
    </xf>
    <xf numFmtId="0" fontId="7" fillId="2" borderId="11" xfId="0" applyFont="1" applyFill="1" applyBorder="1" applyProtection="1">
      <protection hidden="1"/>
    </xf>
    <xf numFmtId="44" fontId="7" fillId="2" borderId="0" xfId="0" applyNumberFormat="1" applyFont="1" applyFill="1" applyBorder="1" applyProtection="1">
      <protection hidden="1"/>
    </xf>
    <xf numFmtId="0" fontId="7" fillId="2" borderId="12" xfId="0" applyFont="1" applyFill="1" applyBorder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Protection="1">
      <protection hidden="1"/>
    </xf>
    <xf numFmtId="44" fontId="0" fillId="2" borderId="0" xfId="0" applyNumberFormat="1" applyFill="1" applyProtection="1">
      <protection hidden="1"/>
    </xf>
    <xf numFmtId="164" fontId="6" fillId="2" borderId="0" xfId="1" applyNumberFormat="1" applyFont="1" applyFill="1" applyBorder="1" applyAlignment="1" applyProtection="1">
      <alignment horizontal="center"/>
      <protection hidden="1"/>
    </xf>
    <xf numFmtId="164" fontId="0" fillId="2" borderId="0" xfId="1" applyNumberFormat="1" applyFont="1" applyFill="1" applyProtection="1">
      <protection hidden="1"/>
    </xf>
    <xf numFmtId="44" fontId="0" fillId="5" borderId="5" xfId="2" applyFont="1" applyFill="1" applyBorder="1" applyAlignment="1">
      <alignment wrapText="1"/>
    </xf>
    <xf numFmtId="44" fontId="11" fillId="5" borderId="8" xfId="2" applyFont="1" applyFill="1" applyBorder="1" applyAlignment="1" applyProtection="1">
      <alignment horizontal="center"/>
      <protection hidden="1"/>
    </xf>
    <xf numFmtId="164" fontId="14" fillId="0" borderId="5" xfId="1" applyNumberFormat="1" applyFont="1" applyFill="1" applyBorder="1" applyAlignment="1" applyProtection="1">
      <protection hidden="1"/>
    </xf>
    <xf numFmtId="9" fontId="14" fillId="3" borderId="0" xfId="3" applyFont="1" applyFill="1" applyBorder="1" applyAlignment="1" applyProtection="1">
      <protection hidden="1"/>
    </xf>
    <xf numFmtId="44" fontId="14" fillId="0" borderId="5" xfId="2" applyFont="1" applyFill="1" applyBorder="1" applyAlignment="1" applyProtection="1"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5" fillId="2" borderId="1" xfId="0" applyFont="1" applyFill="1" applyBorder="1" applyProtection="1">
      <protection hidden="1"/>
    </xf>
    <xf numFmtId="44" fontId="11" fillId="2" borderId="1" xfId="2" applyFont="1" applyFill="1" applyBorder="1" applyProtection="1">
      <protection hidden="1"/>
    </xf>
    <xf numFmtId="44" fontId="16" fillId="2" borderId="1" xfId="2" applyFont="1" applyFill="1" applyBorder="1" applyAlignment="1" applyProtection="1">
      <alignment horizontal="center"/>
      <protection hidden="1"/>
    </xf>
    <xf numFmtId="44" fontId="11" fillId="2" borderId="1" xfId="0" applyNumberFormat="1" applyFont="1" applyFill="1" applyBorder="1" applyProtection="1">
      <protection hidden="1"/>
    </xf>
    <xf numFmtId="44" fontId="11" fillId="2" borderId="1" xfId="2" applyFont="1" applyFill="1" applyBorder="1" applyAlignment="1" applyProtection="1">
      <protection hidden="1"/>
    </xf>
    <xf numFmtId="44" fontId="11" fillId="2" borderId="1" xfId="0" applyNumberFormat="1" applyFont="1" applyFill="1" applyBorder="1" applyAlignment="1" applyProtection="1">
      <alignment horizontal="center"/>
      <protection hidden="1"/>
    </xf>
    <xf numFmtId="164" fontId="9" fillId="2" borderId="1" xfId="1" applyNumberFormat="1" applyFont="1" applyFill="1" applyBorder="1" applyAlignment="1" applyProtection="1">
      <alignment horizontal="center"/>
      <protection hidden="1"/>
    </xf>
    <xf numFmtId="44" fontId="9" fillId="2" borderId="1" xfId="2" applyFont="1" applyFill="1" applyBorder="1" applyAlignment="1" applyProtection="1">
      <alignment horizontal="center"/>
      <protection hidden="1"/>
    </xf>
    <xf numFmtId="44" fontId="9" fillId="2" borderId="1" xfId="0" applyNumberFormat="1" applyFont="1" applyFill="1" applyBorder="1" applyProtection="1">
      <protection hidden="1"/>
    </xf>
    <xf numFmtId="164" fontId="9" fillId="4" borderId="1" xfId="1" applyNumberFormat="1" applyFont="1" applyFill="1" applyBorder="1" applyAlignment="1" applyProtection="1">
      <alignment horizontal="center"/>
      <protection hidden="1"/>
    </xf>
    <xf numFmtId="44" fontId="9" fillId="4" borderId="1" xfId="2" applyFont="1" applyFill="1" applyBorder="1" applyAlignment="1" applyProtection="1">
      <alignment horizontal="center"/>
      <protection hidden="1"/>
    </xf>
    <xf numFmtId="44" fontId="9" fillId="4" borderId="1" xfId="0" applyNumberFormat="1" applyFont="1" applyFill="1" applyBorder="1" applyProtection="1">
      <protection hidden="1"/>
    </xf>
    <xf numFmtId="164" fontId="9" fillId="2" borderId="1" xfId="1" applyNumberFormat="1" applyFont="1" applyFill="1" applyBorder="1" applyAlignment="1" applyProtection="1">
      <alignment horizontal="right"/>
      <protection hidden="1"/>
    </xf>
    <xf numFmtId="164" fontId="9" fillId="5" borderId="1" xfId="1" applyNumberFormat="1" applyFont="1" applyFill="1" applyBorder="1" applyAlignment="1" applyProtection="1">
      <alignment horizontal="right"/>
      <protection hidden="1"/>
    </xf>
    <xf numFmtId="44" fontId="9" fillId="5" borderId="1" xfId="2" applyFont="1" applyFill="1" applyBorder="1" applyAlignment="1" applyProtection="1">
      <alignment horizontal="center"/>
      <protection hidden="1"/>
    </xf>
    <xf numFmtId="44" fontId="9" fillId="5" borderId="1" xfId="0" applyNumberFormat="1" applyFont="1" applyFill="1" applyBorder="1" applyProtection="1">
      <protection hidden="1"/>
    </xf>
    <xf numFmtId="164" fontId="13" fillId="4" borderId="1" xfId="1" applyNumberFormat="1" applyFont="1" applyFill="1" applyBorder="1" applyAlignment="1" applyProtection="1">
      <alignment horizontal="center"/>
      <protection hidden="1"/>
    </xf>
    <xf numFmtId="44" fontId="13" fillId="4" borderId="1" xfId="0" applyNumberFormat="1" applyFont="1" applyFill="1" applyBorder="1" applyProtection="1">
      <protection hidden="1"/>
    </xf>
    <xf numFmtId="164" fontId="9" fillId="0" borderId="1" xfId="1" applyNumberFormat="1" applyFont="1" applyFill="1" applyBorder="1" applyAlignment="1" applyProtection="1">
      <alignment horizontal="right"/>
      <protection hidden="1"/>
    </xf>
    <xf numFmtId="44" fontId="9" fillId="0" borderId="1" xfId="0" applyNumberFormat="1" applyFont="1" applyFill="1" applyBorder="1" applyProtection="1"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164" fontId="9" fillId="5" borderId="8" xfId="1" applyNumberFormat="1" applyFont="1" applyFill="1" applyBorder="1" applyAlignment="1" applyProtection="1">
      <alignment horizontal="right"/>
      <protection hidden="1"/>
    </xf>
    <xf numFmtId="44" fontId="9" fillId="5" borderId="8" xfId="0" applyNumberFormat="1" applyFont="1" applyFill="1" applyBorder="1" applyProtection="1">
      <protection hidden="1"/>
    </xf>
    <xf numFmtId="44" fontId="11" fillId="5" borderId="1" xfId="2" applyFont="1" applyFill="1" applyBorder="1" applyAlignment="1" applyProtection="1">
      <alignment horizontal="center"/>
      <protection hidden="1"/>
    </xf>
    <xf numFmtId="44" fontId="11" fillId="0" borderId="1" xfId="2" applyFont="1" applyFill="1" applyBorder="1" applyAlignment="1" applyProtection="1">
      <alignment horizontal="center"/>
      <protection hidden="1"/>
    </xf>
    <xf numFmtId="44" fontId="13" fillId="4" borderId="1" xfId="2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wrapText="1"/>
    </xf>
    <xf numFmtId="0" fontId="2" fillId="4" borderId="0" xfId="0" applyFont="1" applyFill="1" applyBorder="1" applyProtection="1"/>
    <xf numFmtId="164" fontId="2" fillId="4" borderId="9" xfId="0" applyNumberFormat="1" applyFont="1" applyFill="1" applyBorder="1" applyProtection="1">
      <protection hidden="1"/>
    </xf>
    <xf numFmtId="0" fontId="0" fillId="0" borderId="1" xfId="0" applyFill="1" applyBorder="1" applyProtection="1">
      <protection hidden="1"/>
    </xf>
    <xf numFmtId="44" fontId="0" fillId="4" borderId="1" xfId="2" applyFont="1" applyFill="1" applyBorder="1" applyAlignment="1" applyProtection="1">
      <alignment horizontal="center"/>
      <protection hidden="1"/>
    </xf>
    <xf numFmtId="0" fontId="0" fillId="4" borderId="1" xfId="0" applyFill="1" applyBorder="1" applyProtection="1">
      <protection hidden="1"/>
    </xf>
    <xf numFmtId="0" fontId="0" fillId="5" borderId="1" xfId="0" applyFill="1" applyBorder="1" applyProtection="1">
      <protection hidden="1"/>
    </xf>
    <xf numFmtId="0" fontId="2" fillId="4" borderId="1" xfId="0" applyFont="1" applyFill="1" applyBorder="1" applyProtection="1">
      <protection hidden="1"/>
    </xf>
    <xf numFmtId="164" fontId="2" fillId="4" borderId="1" xfId="0" applyNumberFormat="1" applyFont="1" applyFill="1" applyBorder="1" applyProtection="1">
      <protection hidden="1"/>
    </xf>
    <xf numFmtId="43" fontId="0" fillId="0" borderId="5" xfId="1" applyFont="1" applyFill="1" applyBorder="1" applyProtection="1">
      <protection hidden="1"/>
    </xf>
    <xf numFmtId="9" fontId="0" fillId="0" borderId="5" xfId="3" applyFont="1" applyFill="1" applyBorder="1" applyProtection="1">
      <protection hidden="1"/>
    </xf>
    <xf numFmtId="44" fontId="0" fillId="5" borderId="5" xfId="2" applyFont="1" applyFill="1" applyBorder="1" applyProtection="1">
      <protection hidden="1"/>
    </xf>
    <xf numFmtId="0" fontId="4" fillId="0" borderId="7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6" borderId="5" xfId="0" applyFill="1" applyBorder="1" applyProtection="1">
      <protection hidden="1"/>
    </xf>
    <xf numFmtId="43" fontId="0" fillId="6" borderId="5" xfId="1" applyFont="1" applyFill="1" applyBorder="1" applyAlignment="1" applyProtection="1">
      <alignment wrapText="1"/>
      <protection hidden="1"/>
    </xf>
    <xf numFmtId="44" fontId="0" fillId="6" borderId="5" xfId="2" applyFont="1" applyFill="1" applyBorder="1" applyProtection="1">
      <protection hidden="1"/>
    </xf>
    <xf numFmtId="0" fontId="0" fillId="5" borderId="5" xfId="0" applyFill="1" applyBorder="1" applyAlignment="1">
      <alignment wrapText="1"/>
    </xf>
    <xf numFmtId="43" fontId="18" fillId="5" borderId="18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horizontal="center"/>
      <protection hidden="1"/>
    </xf>
    <xf numFmtId="0" fontId="0" fillId="2" borderId="6" xfId="0" applyFill="1" applyBorder="1" applyProtection="1">
      <protection hidden="1"/>
    </xf>
    <xf numFmtId="0" fontId="0" fillId="2" borderId="3" xfId="0" applyFill="1" applyBorder="1" applyProtection="1">
      <protection hidden="1"/>
    </xf>
    <xf numFmtId="164" fontId="0" fillId="2" borderId="3" xfId="1" applyNumberFormat="1" applyFont="1" applyFill="1" applyBorder="1" applyProtection="1">
      <protection hidden="1"/>
    </xf>
    <xf numFmtId="165" fontId="0" fillId="2" borderId="7" xfId="3" applyNumberFormat="1" applyFont="1" applyFill="1" applyBorder="1" applyProtection="1">
      <protection hidden="1"/>
    </xf>
    <xf numFmtId="0" fontId="0" fillId="2" borderId="13" xfId="0" applyFill="1" applyBorder="1" applyProtection="1">
      <protection hidden="1"/>
    </xf>
    <xf numFmtId="164" fontId="0" fillId="2" borderId="0" xfId="1" applyNumberFormat="1" applyFont="1" applyFill="1" applyBorder="1" applyProtection="1">
      <protection hidden="1"/>
    </xf>
    <xf numFmtId="9" fontId="0" fillId="2" borderId="15" xfId="3" applyFont="1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4" xfId="0" applyFill="1" applyBorder="1" applyProtection="1">
      <protection hidden="1"/>
    </xf>
    <xf numFmtId="164" fontId="0" fillId="2" borderId="4" xfId="1" applyNumberFormat="1" applyFont="1" applyFill="1" applyBorder="1" applyProtection="1">
      <protection hidden="1"/>
    </xf>
    <xf numFmtId="0" fontId="0" fillId="2" borderId="16" xfId="0" applyFill="1" applyBorder="1" applyProtection="1">
      <protection hidden="1"/>
    </xf>
    <xf numFmtId="44" fontId="16" fillId="7" borderId="1" xfId="2" applyFont="1" applyFill="1" applyBorder="1" applyAlignment="1" applyProtection="1">
      <alignment horizontal="center"/>
      <protection hidden="1"/>
    </xf>
    <xf numFmtId="44" fontId="11" fillId="7" borderId="1" xfId="0" applyNumberFormat="1" applyFont="1" applyFill="1" applyBorder="1" applyProtection="1">
      <protection hidden="1"/>
    </xf>
    <xf numFmtId="0" fontId="0" fillId="0" borderId="8" xfId="0" applyFill="1" applyBorder="1" applyAlignment="1"/>
    <xf numFmtId="0" fontId="0" fillId="0" borderId="2" xfId="0" applyFill="1" applyBorder="1" applyAlignment="1"/>
    <xf numFmtId="0" fontId="0" fillId="4" borderId="9" xfId="0" applyFill="1" applyBorder="1" applyAlignment="1"/>
    <xf numFmtId="164" fontId="2" fillId="4" borderId="9" xfId="0" applyNumberFormat="1" applyFont="1" applyFill="1" applyBorder="1" applyAlignment="1" applyProtection="1">
      <protection hidden="1"/>
    </xf>
    <xf numFmtId="0" fontId="0" fillId="5" borderId="8" xfId="0" applyFill="1" applyBorder="1" applyAlignment="1"/>
    <xf numFmtId="0" fontId="0" fillId="5" borderId="2" xfId="0" applyFill="1" applyBorder="1" applyAlignment="1"/>
    <xf numFmtId="164" fontId="20" fillId="2" borderId="0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44" fontId="0" fillId="0" borderId="2" xfId="2" applyFont="1" applyFill="1" applyBorder="1" applyAlignment="1"/>
    <xf numFmtId="44" fontId="0" fillId="0" borderId="2" xfId="2" applyFont="1" applyFill="1" applyBorder="1"/>
    <xf numFmtId="44" fontId="0" fillId="5" borderId="2" xfId="2" applyFont="1" applyFill="1" applyBorder="1" applyAlignment="1"/>
    <xf numFmtId="44" fontId="0" fillId="5" borderId="2" xfId="2" applyFont="1" applyFill="1" applyBorder="1"/>
    <xf numFmtId="44" fontId="0" fillId="5" borderId="5" xfId="2" applyFont="1" applyFill="1" applyBorder="1"/>
    <xf numFmtId="9" fontId="0" fillId="0" borderId="5" xfId="3" applyFont="1" applyFill="1" applyBorder="1"/>
    <xf numFmtId="3" fontId="0" fillId="0" borderId="8" xfId="0" applyNumberFormat="1" applyFill="1" applyBorder="1" applyAlignment="1"/>
    <xf numFmtId="3" fontId="0" fillId="5" borderId="8" xfId="0" applyNumberFormat="1" applyFill="1" applyBorder="1" applyAlignment="1"/>
    <xf numFmtId="3" fontId="0" fillId="0" borderId="8" xfId="0" applyNumberFormat="1" applyFill="1" applyBorder="1"/>
    <xf numFmtId="3" fontId="0" fillId="5" borderId="8" xfId="0" applyNumberFormat="1" applyFill="1" applyBorder="1"/>
    <xf numFmtId="0" fontId="17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7" fillId="2" borderId="0" xfId="0" applyFont="1" applyFill="1" applyAlignment="1" applyProtection="1">
      <protection hidden="1"/>
    </xf>
    <xf numFmtId="0" fontId="9" fillId="5" borderId="1" xfId="0" applyFont="1" applyFill="1" applyBorder="1" applyAlignment="1" applyProtection="1">
      <alignment horizontal="left"/>
      <protection hidden="1"/>
    </xf>
    <xf numFmtId="44" fontId="11" fillId="5" borderId="1" xfId="2" applyFont="1" applyFill="1" applyBorder="1" applyAlignment="1" applyProtection="1">
      <alignment horizont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9" fillId="0" borderId="1" xfId="0" applyFont="1" applyFill="1" applyBorder="1" applyAlignment="1" applyProtection="1">
      <alignment horizontal="left"/>
      <protection hidden="1"/>
    </xf>
    <xf numFmtId="44" fontId="11" fillId="0" borderId="1" xfId="2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right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right"/>
      <protection hidden="1"/>
    </xf>
    <xf numFmtId="0" fontId="0" fillId="5" borderId="17" xfId="0" applyFill="1" applyBorder="1" applyAlignment="1" applyProtection="1">
      <alignment horizontal="right"/>
      <protection hidden="1"/>
    </xf>
    <xf numFmtId="0" fontId="0" fillId="5" borderId="5" xfId="0" applyFill="1" applyBorder="1" applyAlignment="1" applyProtection="1">
      <alignment horizontal="right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44" fontId="11" fillId="2" borderId="1" xfId="2" applyFont="1" applyFill="1" applyBorder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left"/>
      <protection hidden="1"/>
    </xf>
    <xf numFmtId="44" fontId="12" fillId="4" borderId="1" xfId="2" applyFont="1" applyFill="1" applyBorder="1" applyAlignment="1" applyProtection="1">
      <alignment horizontal="center"/>
      <protection hidden="1"/>
    </xf>
    <xf numFmtId="0" fontId="12" fillId="4" borderId="1" xfId="0" applyFont="1" applyFill="1" applyBorder="1" applyAlignment="1" applyProtection="1">
      <alignment horizontal="center"/>
      <protection hidden="1"/>
    </xf>
    <xf numFmtId="0" fontId="13" fillId="4" borderId="1" xfId="0" applyFont="1" applyFill="1" applyBorder="1" applyAlignment="1" applyProtection="1">
      <alignment horizontal="left"/>
      <protection hidden="1"/>
    </xf>
    <xf numFmtId="44" fontId="13" fillId="4" borderId="1" xfId="2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Border="1" applyAlignment="1" applyProtection="1">
      <alignment horizontal="center"/>
      <protection hidden="1"/>
    </xf>
    <xf numFmtId="37" fontId="13" fillId="4" borderId="1" xfId="1" applyNumberFormat="1" applyFont="1" applyFill="1" applyBorder="1" applyAlignment="1" applyProtection="1">
      <alignment horizontal="center"/>
      <protection hidden="1"/>
    </xf>
    <xf numFmtId="0" fontId="0" fillId="5" borderId="1" xfId="0" applyFill="1" applyBorder="1" applyAlignment="1">
      <alignment horizont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44" fontId="4" fillId="0" borderId="1" xfId="2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44" fontId="0" fillId="0" borderId="1" xfId="2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44" fontId="0" fillId="5" borderId="1" xfId="2" applyFont="1" applyFill="1" applyBorder="1" applyAlignment="1" applyProtection="1">
      <alignment horizontal="center"/>
      <protection hidden="1"/>
    </xf>
    <xf numFmtId="0" fontId="0" fillId="0" borderId="8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44" fontId="0" fillId="0" borderId="8" xfId="2" applyFont="1" applyFill="1" applyBorder="1" applyAlignment="1" applyProtection="1">
      <alignment horizontal="center"/>
      <protection hidden="1"/>
    </xf>
    <xf numFmtId="44" fontId="0" fillId="0" borderId="2" xfId="2" applyFont="1" applyFill="1" applyBorder="1" applyAlignment="1" applyProtection="1">
      <alignment horizontal="center"/>
      <protection hidden="1"/>
    </xf>
    <xf numFmtId="0" fontId="0" fillId="5" borderId="8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44" fontId="2" fillId="4" borderId="1" xfId="2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0" fillId="5" borderId="8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44" fontId="0" fillId="5" borderId="8" xfId="2" applyFont="1" applyFill="1" applyBorder="1" applyAlignment="1" applyProtection="1">
      <alignment horizontal="center"/>
      <protection hidden="1"/>
    </xf>
    <xf numFmtId="44" fontId="0" fillId="5" borderId="2" xfId="2" applyFont="1" applyFill="1" applyBorder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N49"/>
  <sheetViews>
    <sheetView tabSelected="1" workbookViewId="0">
      <selection activeCell="D48" sqref="D48"/>
    </sheetView>
  </sheetViews>
  <sheetFormatPr defaultColWidth="8.81640625" defaultRowHeight="14.5" x14ac:dyDescent="0.35"/>
  <cols>
    <col min="1" max="1" width="21.7265625" style="30" customWidth="1"/>
    <col min="2" max="2" width="0.1796875" style="30" hidden="1" customWidth="1"/>
    <col min="3" max="3" width="13.7265625" style="41" customWidth="1"/>
    <col min="4" max="5" width="8.54296875" style="30" bestFit="1" customWidth="1"/>
    <col min="6" max="6" width="12.54296875" style="30" bestFit="1" customWidth="1"/>
    <col min="7" max="7" width="13" style="30" customWidth="1"/>
    <col min="8" max="8" width="9.54296875" style="30" bestFit="1" customWidth="1"/>
    <col min="9" max="9" width="8.54296875" style="30" bestFit="1" customWidth="1"/>
    <col min="10" max="10" width="10.1796875" style="30" bestFit="1" customWidth="1"/>
    <col min="11" max="257" width="8.81640625" style="30"/>
    <col min="258" max="258" width="15.453125" style="30" customWidth="1"/>
    <col min="259" max="259" width="19" style="30" customWidth="1"/>
    <col min="260" max="260" width="12.453125" style="30" customWidth="1"/>
    <col min="261" max="261" width="11.7265625" style="30" customWidth="1"/>
    <col min="262" max="262" width="17.26953125" style="30" customWidth="1"/>
    <col min="263" max="263" width="13" style="30" customWidth="1"/>
    <col min="264" max="264" width="8.7265625" style="30" customWidth="1"/>
    <col min="265" max="265" width="8.453125" style="30" customWidth="1"/>
    <col min="266" max="266" width="10.453125" style="30" customWidth="1"/>
    <col min="267" max="513" width="8.81640625" style="30"/>
    <col min="514" max="514" width="15.453125" style="30" customWidth="1"/>
    <col min="515" max="515" width="19" style="30" customWidth="1"/>
    <col min="516" max="516" width="12.453125" style="30" customWidth="1"/>
    <col min="517" max="517" width="11.7265625" style="30" customWidth="1"/>
    <col min="518" max="518" width="17.26953125" style="30" customWidth="1"/>
    <col min="519" max="519" width="13" style="30" customWidth="1"/>
    <col min="520" max="520" width="8.7265625" style="30" customWidth="1"/>
    <col min="521" max="521" width="8.453125" style="30" customWidth="1"/>
    <col min="522" max="522" width="10.453125" style="30" customWidth="1"/>
    <col min="523" max="769" width="8.81640625" style="30"/>
    <col min="770" max="770" width="15.453125" style="30" customWidth="1"/>
    <col min="771" max="771" width="19" style="30" customWidth="1"/>
    <col min="772" max="772" width="12.453125" style="30" customWidth="1"/>
    <col min="773" max="773" width="11.7265625" style="30" customWidth="1"/>
    <col min="774" max="774" width="17.26953125" style="30" customWidth="1"/>
    <col min="775" max="775" width="13" style="30" customWidth="1"/>
    <col min="776" max="776" width="8.7265625" style="30" customWidth="1"/>
    <col min="777" max="777" width="8.453125" style="30" customWidth="1"/>
    <col min="778" max="778" width="10.453125" style="30" customWidth="1"/>
    <col min="779" max="1025" width="8.81640625" style="30"/>
    <col min="1026" max="1026" width="15.453125" style="30" customWidth="1"/>
    <col min="1027" max="1027" width="19" style="30" customWidth="1"/>
    <col min="1028" max="1028" width="12.453125" style="30" customWidth="1"/>
    <col min="1029" max="1029" width="11.7265625" style="30" customWidth="1"/>
    <col min="1030" max="1030" width="17.26953125" style="30" customWidth="1"/>
    <col min="1031" max="1031" width="13" style="30" customWidth="1"/>
    <col min="1032" max="1032" width="8.7265625" style="30" customWidth="1"/>
    <col min="1033" max="1033" width="8.453125" style="30" customWidth="1"/>
    <col min="1034" max="1034" width="10.453125" style="30" customWidth="1"/>
    <col min="1035" max="1281" width="8.81640625" style="30"/>
    <col min="1282" max="1282" width="15.453125" style="30" customWidth="1"/>
    <col min="1283" max="1283" width="19" style="30" customWidth="1"/>
    <col min="1284" max="1284" width="12.453125" style="30" customWidth="1"/>
    <col min="1285" max="1285" width="11.7265625" style="30" customWidth="1"/>
    <col min="1286" max="1286" width="17.26953125" style="30" customWidth="1"/>
    <col min="1287" max="1287" width="13" style="30" customWidth="1"/>
    <col min="1288" max="1288" width="8.7265625" style="30" customWidth="1"/>
    <col min="1289" max="1289" width="8.453125" style="30" customWidth="1"/>
    <col min="1290" max="1290" width="10.453125" style="30" customWidth="1"/>
    <col min="1291" max="1537" width="8.81640625" style="30"/>
    <col min="1538" max="1538" width="15.453125" style="30" customWidth="1"/>
    <col min="1539" max="1539" width="19" style="30" customWidth="1"/>
    <col min="1540" max="1540" width="12.453125" style="30" customWidth="1"/>
    <col min="1541" max="1541" width="11.7265625" style="30" customWidth="1"/>
    <col min="1542" max="1542" width="17.26953125" style="30" customWidth="1"/>
    <col min="1543" max="1543" width="13" style="30" customWidth="1"/>
    <col min="1544" max="1544" width="8.7265625" style="30" customWidth="1"/>
    <col min="1545" max="1545" width="8.453125" style="30" customWidth="1"/>
    <col min="1546" max="1546" width="10.453125" style="30" customWidth="1"/>
    <col min="1547" max="1793" width="8.81640625" style="30"/>
    <col min="1794" max="1794" width="15.453125" style="30" customWidth="1"/>
    <col min="1795" max="1795" width="19" style="30" customWidth="1"/>
    <col min="1796" max="1796" width="12.453125" style="30" customWidth="1"/>
    <col min="1797" max="1797" width="11.7265625" style="30" customWidth="1"/>
    <col min="1798" max="1798" width="17.26953125" style="30" customWidth="1"/>
    <col min="1799" max="1799" width="13" style="30" customWidth="1"/>
    <col min="1800" max="1800" width="8.7265625" style="30" customWidth="1"/>
    <col min="1801" max="1801" width="8.453125" style="30" customWidth="1"/>
    <col min="1802" max="1802" width="10.453125" style="30" customWidth="1"/>
    <col min="1803" max="2049" width="8.81640625" style="30"/>
    <col min="2050" max="2050" width="15.453125" style="30" customWidth="1"/>
    <col min="2051" max="2051" width="19" style="30" customWidth="1"/>
    <col min="2052" max="2052" width="12.453125" style="30" customWidth="1"/>
    <col min="2053" max="2053" width="11.7265625" style="30" customWidth="1"/>
    <col min="2054" max="2054" width="17.26953125" style="30" customWidth="1"/>
    <col min="2055" max="2055" width="13" style="30" customWidth="1"/>
    <col min="2056" max="2056" width="8.7265625" style="30" customWidth="1"/>
    <col min="2057" max="2057" width="8.453125" style="30" customWidth="1"/>
    <col min="2058" max="2058" width="10.453125" style="30" customWidth="1"/>
    <col min="2059" max="2305" width="8.81640625" style="30"/>
    <col min="2306" max="2306" width="15.453125" style="30" customWidth="1"/>
    <col min="2307" max="2307" width="19" style="30" customWidth="1"/>
    <col min="2308" max="2308" width="12.453125" style="30" customWidth="1"/>
    <col min="2309" max="2309" width="11.7265625" style="30" customWidth="1"/>
    <col min="2310" max="2310" width="17.26953125" style="30" customWidth="1"/>
    <col min="2311" max="2311" width="13" style="30" customWidth="1"/>
    <col min="2312" max="2312" width="8.7265625" style="30" customWidth="1"/>
    <col min="2313" max="2313" width="8.453125" style="30" customWidth="1"/>
    <col min="2314" max="2314" width="10.453125" style="30" customWidth="1"/>
    <col min="2315" max="2561" width="8.81640625" style="30"/>
    <col min="2562" max="2562" width="15.453125" style="30" customWidth="1"/>
    <col min="2563" max="2563" width="19" style="30" customWidth="1"/>
    <col min="2564" max="2564" width="12.453125" style="30" customWidth="1"/>
    <col min="2565" max="2565" width="11.7265625" style="30" customWidth="1"/>
    <col min="2566" max="2566" width="17.26953125" style="30" customWidth="1"/>
    <col min="2567" max="2567" width="13" style="30" customWidth="1"/>
    <col min="2568" max="2568" width="8.7265625" style="30" customWidth="1"/>
    <col min="2569" max="2569" width="8.453125" style="30" customWidth="1"/>
    <col min="2570" max="2570" width="10.453125" style="30" customWidth="1"/>
    <col min="2571" max="2817" width="8.81640625" style="30"/>
    <col min="2818" max="2818" width="15.453125" style="30" customWidth="1"/>
    <col min="2819" max="2819" width="19" style="30" customWidth="1"/>
    <col min="2820" max="2820" width="12.453125" style="30" customWidth="1"/>
    <col min="2821" max="2821" width="11.7265625" style="30" customWidth="1"/>
    <col min="2822" max="2822" width="17.26953125" style="30" customWidth="1"/>
    <col min="2823" max="2823" width="13" style="30" customWidth="1"/>
    <col min="2824" max="2824" width="8.7265625" style="30" customWidth="1"/>
    <col min="2825" max="2825" width="8.453125" style="30" customWidth="1"/>
    <col min="2826" max="2826" width="10.453125" style="30" customWidth="1"/>
    <col min="2827" max="3073" width="8.81640625" style="30"/>
    <col min="3074" max="3074" width="15.453125" style="30" customWidth="1"/>
    <col min="3075" max="3075" width="19" style="30" customWidth="1"/>
    <col min="3076" max="3076" width="12.453125" style="30" customWidth="1"/>
    <col min="3077" max="3077" width="11.7265625" style="30" customWidth="1"/>
    <col min="3078" max="3078" width="17.26953125" style="30" customWidth="1"/>
    <col min="3079" max="3079" width="13" style="30" customWidth="1"/>
    <col min="3080" max="3080" width="8.7265625" style="30" customWidth="1"/>
    <col min="3081" max="3081" width="8.453125" style="30" customWidth="1"/>
    <col min="3082" max="3082" width="10.453125" style="30" customWidth="1"/>
    <col min="3083" max="3329" width="8.81640625" style="30"/>
    <col min="3330" max="3330" width="15.453125" style="30" customWidth="1"/>
    <col min="3331" max="3331" width="19" style="30" customWidth="1"/>
    <col min="3332" max="3332" width="12.453125" style="30" customWidth="1"/>
    <col min="3333" max="3333" width="11.7265625" style="30" customWidth="1"/>
    <col min="3334" max="3334" width="17.26953125" style="30" customWidth="1"/>
    <col min="3335" max="3335" width="13" style="30" customWidth="1"/>
    <col min="3336" max="3336" width="8.7265625" style="30" customWidth="1"/>
    <col min="3337" max="3337" width="8.453125" style="30" customWidth="1"/>
    <col min="3338" max="3338" width="10.453125" style="30" customWidth="1"/>
    <col min="3339" max="3585" width="8.81640625" style="30"/>
    <col min="3586" max="3586" width="15.453125" style="30" customWidth="1"/>
    <col min="3587" max="3587" width="19" style="30" customWidth="1"/>
    <col min="3588" max="3588" width="12.453125" style="30" customWidth="1"/>
    <col min="3589" max="3589" width="11.7265625" style="30" customWidth="1"/>
    <col min="3590" max="3590" width="17.26953125" style="30" customWidth="1"/>
    <col min="3591" max="3591" width="13" style="30" customWidth="1"/>
    <col min="3592" max="3592" width="8.7265625" style="30" customWidth="1"/>
    <col min="3593" max="3593" width="8.453125" style="30" customWidth="1"/>
    <col min="3594" max="3594" width="10.453125" style="30" customWidth="1"/>
    <col min="3595" max="3841" width="8.81640625" style="30"/>
    <col min="3842" max="3842" width="15.453125" style="30" customWidth="1"/>
    <col min="3843" max="3843" width="19" style="30" customWidth="1"/>
    <col min="3844" max="3844" width="12.453125" style="30" customWidth="1"/>
    <col min="3845" max="3845" width="11.7265625" style="30" customWidth="1"/>
    <col min="3846" max="3846" width="17.26953125" style="30" customWidth="1"/>
    <col min="3847" max="3847" width="13" style="30" customWidth="1"/>
    <col min="3848" max="3848" width="8.7265625" style="30" customWidth="1"/>
    <col min="3849" max="3849" width="8.453125" style="30" customWidth="1"/>
    <col min="3850" max="3850" width="10.453125" style="30" customWidth="1"/>
    <col min="3851" max="4097" width="8.81640625" style="30"/>
    <col min="4098" max="4098" width="15.453125" style="30" customWidth="1"/>
    <col min="4099" max="4099" width="19" style="30" customWidth="1"/>
    <col min="4100" max="4100" width="12.453125" style="30" customWidth="1"/>
    <col min="4101" max="4101" width="11.7265625" style="30" customWidth="1"/>
    <col min="4102" max="4102" width="17.26953125" style="30" customWidth="1"/>
    <col min="4103" max="4103" width="13" style="30" customWidth="1"/>
    <col min="4104" max="4104" width="8.7265625" style="30" customWidth="1"/>
    <col min="4105" max="4105" width="8.453125" style="30" customWidth="1"/>
    <col min="4106" max="4106" width="10.453125" style="30" customWidth="1"/>
    <col min="4107" max="4353" width="8.81640625" style="30"/>
    <col min="4354" max="4354" width="15.453125" style="30" customWidth="1"/>
    <col min="4355" max="4355" width="19" style="30" customWidth="1"/>
    <col min="4356" max="4356" width="12.453125" style="30" customWidth="1"/>
    <col min="4357" max="4357" width="11.7265625" style="30" customWidth="1"/>
    <col min="4358" max="4358" width="17.26953125" style="30" customWidth="1"/>
    <col min="4359" max="4359" width="13" style="30" customWidth="1"/>
    <col min="4360" max="4360" width="8.7265625" style="30" customWidth="1"/>
    <col min="4361" max="4361" width="8.453125" style="30" customWidth="1"/>
    <col min="4362" max="4362" width="10.453125" style="30" customWidth="1"/>
    <col min="4363" max="4609" width="8.81640625" style="30"/>
    <col min="4610" max="4610" width="15.453125" style="30" customWidth="1"/>
    <col min="4611" max="4611" width="19" style="30" customWidth="1"/>
    <col min="4612" max="4612" width="12.453125" style="30" customWidth="1"/>
    <col min="4613" max="4613" width="11.7265625" style="30" customWidth="1"/>
    <col min="4614" max="4614" width="17.26953125" style="30" customWidth="1"/>
    <col min="4615" max="4615" width="13" style="30" customWidth="1"/>
    <col min="4616" max="4616" width="8.7265625" style="30" customWidth="1"/>
    <col min="4617" max="4617" width="8.453125" style="30" customWidth="1"/>
    <col min="4618" max="4618" width="10.453125" style="30" customWidth="1"/>
    <col min="4619" max="4865" width="8.81640625" style="30"/>
    <col min="4866" max="4866" width="15.453125" style="30" customWidth="1"/>
    <col min="4867" max="4867" width="19" style="30" customWidth="1"/>
    <col min="4868" max="4868" width="12.453125" style="30" customWidth="1"/>
    <col min="4869" max="4869" width="11.7265625" style="30" customWidth="1"/>
    <col min="4870" max="4870" width="17.26953125" style="30" customWidth="1"/>
    <col min="4871" max="4871" width="13" style="30" customWidth="1"/>
    <col min="4872" max="4872" width="8.7265625" style="30" customWidth="1"/>
    <col min="4873" max="4873" width="8.453125" style="30" customWidth="1"/>
    <col min="4874" max="4874" width="10.453125" style="30" customWidth="1"/>
    <col min="4875" max="5121" width="8.81640625" style="30"/>
    <col min="5122" max="5122" width="15.453125" style="30" customWidth="1"/>
    <col min="5123" max="5123" width="19" style="30" customWidth="1"/>
    <col min="5124" max="5124" width="12.453125" style="30" customWidth="1"/>
    <col min="5125" max="5125" width="11.7265625" style="30" customWidth="1"/>
    <col min="5126" max="5126" width="17.26953125" style="30" customWidth="1"/>
    <col min="5127" max="5127" width="13" style="30" customWidth="1"/>
    <col min="5128" max="5128" width="8.7265625" style="30" customWidth="1"/>
    <col min="5129" max="5129" width="8.453125" style="30" customWidth="1"/>
    <col min="5130" max="5130" width="10.453125" style="30" customWidth="1"/>
    <col min="5131" max="5377" width="8.81640625" style="30"/>
    <col min="5378" max="5378" width="15.453125" style="30" customWidth="1"/>
    <col min="5379" max="5379" width="19" style="30" customWidth="1"/>
    <col min="5380" max="5380" width="12.453125" style="30" customWidth="1"/>
    <col min="5381" max="5381" width="11.7265625" style="30" customWidth="1"/>
    <col min="5382" max="5382" width="17.26953125" style="30" customWidth="1"/>
    <col min="5383" max="5383" width="13" style="30" customWidth="1"/>
    <col min="5384" max="5384" width="8.7265625" style="30" customWidth="1"/>
    <col min="5385" max="5385" width="8.453125" style="30" customWidth="1"/>
    <col min="5386" max="5386" width="10.453125" style="30" customWidth="1"/>
    <col min="5387" max="5633" width="8.81640625" style="30"/>
    <col min="5634" max="5634" width="15.453125" style="30" customWidth="1"/>
    <col min="5635" max="5635" width="19" style="30" customWidth="1"/>
    <col min="5636" max="5636" width="12.453125" style="30" customWidth="1"/>
    <col min="5637" max="5637" width="11.7265625" style="30" customWidth="1"/>
    <col min="5638" max="5638" width="17.26953125" style="30" customWidth="1"/>
    <col min="5639" max="5639" width="13" style="30" customWidth="1"/>
    <col min="5640" max="5640" width="8.7265625" style="30" customWidth="1"/>
    <col min="5641" max="5641" width="8.453125" style="30" customWidth="1"/>
    <col min="5642" max="5642" width="10.453125" style="30" customWidth="1"/>
    <col min="5643" max="5889" width="8.81640625" style="30"/>
    <col min="5890" max="5890" width="15.453125" style="30" customWidth="1"/>
    <col min="5891" max="5891" width="19" style="30" customWidth="1"/>
    <col min="5892" max="5892" width="12.453125" style="30" customWidth="1"/>
    <col min="5893" max="5893" width="11.7265625" style="30" customWidth="1"/>
    <col min="5894" max="5894" width="17.26953125" style="30" customWidth="1"/>
    <col min="5895" max="5895" width="13" style="30" customWidth="1"/>
    <col min="5896" max="5896" width="8.7265625" style="30" customWidth="1"/>
    <col min="5897" max="5897" width="8.453125" style="30" customWidth="1"/>
    <col min="5898" max="5898" width="10.453125" style="30" customWidth="1"/>
    <col min="5899" max="6145" width="8.81640625" style="30"/>
    <col min="6146" max="6146" width="15.453125" style="30" customWidth="1"/>
    <col min="6147" max="6147" width="19" style="30" customWidth="1"/>
    <col min="6148" max="6148" width="12.453125" style="30" customWidth="1"/>
    <col min="6149" max="6149" width="11.7265625" style="30" customWidth="1"/>
    <col min="6150" max="6150" width="17.26953125" style="30" customWidth="1"/>
    <col min="6151" max="6151" width="13" style="30" customWidth="1"/>
    <col min="6152" max="6152" width="8.7265625" style="30" customWidth="1"/>
    <col min="6153" max="6153" width="8.453125" style="30" customWidth="1"/>
    <col min="6154" max="6154" width="10.453125" style="30" customWidth="1"/>
    <col min="6155" max="6401" width="8.81640625" style="30"/>
    <col min="6402" max="6402" width="15.453125" style="30" customWidth="1"/>
    <col min="6403" max="6403" width="19" style="30" customWidth="1"/>
    <col min="6404" max="6404" width="12.453125" style="30" customWidth="1"/>
    <col min="6405" max="6405" width="11.7265625" style="30" customWidth="1"/>
    <col min="6406" max="6406" width="17.26953125" style="30" customWidth="1"/>
    <col min="6407" max="6407" width="13" style="30" customWidth="1"/>
    <col min="6408" max="6408" width="8.7265625" style="30" customWidth="1"/>
    <col min="6409" max="6409" width="8.453125" style="30" customWidth="1"/>
    <col min="6410" max="6410" width="10.453125" style="30" customWidth="1"/>
    <col min="6411" max="6657" width="8.81640625" style="30"/>
    <col min="6658" max="6658" width="15.453125" style="30" customWidth="1"/>
    <col min="6659" max="6659" width="19" style="30" customWidth="1"/>
    <col min="6660" max="6660" width="12.453125" style="30" customWidth="1"/>
    <col min="6661" max="6661" width="11.7265625" style="30" customWidth="1"/>
    <col min="6662" max="6662" width="17.26953125" style="30" customWidth="1"/>
    <col min="6663" max="6663" width="13" style="30" customWidth="1"/>
    <col min="6664" max="6664" width="8.7265625" style="30" customWidth="1"/>
    <col min="6665" max="6665" width="8.453125" style="30" customWidth="1"/>
    <col min="6666" max="6666" width="10.453125" style="30" customWidth="1"/>
    <col min="6667" max="6913" width="8.81640625" style="30"/>
    <col min="6914" max="6914" width="15.453125" style="30" customWidth="1"/>
    <col min="6915" max="6915" width="19" style="30" customWidth="1"/>
    <col min="6916" max="6916" width="12.453125" style="30" customWidth="1"/>
    <col min="6917" max="6917" width="11.7265625" style="30" customWidth="1"/>
    <col min="6918" max="6918" width="17.26953125" style="30" customWidth="1"/>
    <col min="6919" max="6919" width="13" style="30" customWidth="1"/>
    <col min="6920" max="6920" width="8.7265625" style="30" customWidth="1"/>
    <col min="6921" max="6921" width="8.453125" style="30" customWidth="1"/>
    <col min="6922" max="6922" width="10.453125" style="30" customWidth="1"/>
    <col min="6923" max="7169" width="8.81640625" style="30"/>
    <col min="7170" max="7170" width="15.453125" style="30" customWidth="1"/>
    <col min="7171" max="7171" width="19" style="30" customWidth="1"/>
    <col min="7172" max="7172" width="12.453125" style="30" customWidth="1"/>
    <col min="7173" max="7173" width="11.7265625" style="30" customWidth="1"/>
    <col min="7174" max="7174" width="17.26953125" style="30" customWidth="1"/>
    <col min="7175" max="7175" width="13" style="30" customWidth="1"/>
    <col min="7176" max="7176" width="8.7265625" style="30" customWidth="1"/>
    <col min="7177" max="7177" width="8.453125" style="30" customWidth="1"/>
    <col min="7178" max="7178" width="10.453125" style="30" customWidth="1"/>
    <col min="7179" max="7425" width="8.81640625" style="30"/>
    <col min="7426" max="7426" width="15.453125" style="30" customWidth="1"/>
    <col min="7427" max="7427" width="19" style="30" customWidth="1"/>
    <col min="7428" max="7428" width="12.453125" style="30" customWidth="1"/>
    <col min="7429" max="7429" width="11.7265625" style="30" customWidth="1"/>
    <col min="7430" max="7430" width="17.26953125" style="30" customWidth="1"/>
    <col min="7431" max="7431" width="13" style="30" customWidth="1"/>
    <col min="7432" max="7432" width="8.7265625" style="30" customWidth="1"/>
    <col min="7433" max="7433" width="8.453125" style="30" customWidth="1"/>
    <col min="7434" max="7434" width="10.453125" style="30" customWidth="1"/>
    <col min="7435" max="7681" width="8.81640625" style="30"/>
    <col min="7682" max="7682" width="15.453125" style="30" customWidth="1"/>
    <col min="7683" max="7683" width="19" style="30" customWidth="1"/>
    <col min="7684" max="7684" width="12.453125" style="30" customWidth="1"/>
    <col min="7685" max="7685" width="11.7265625" style="30" customWidth="1"/>
    <col min="7686" max="7686" width="17.26953125" style="30" customWidth="1"/>
    <col min="7687" max="7687" width="13" style="30" customWidth="1"/>
    <col min="7688" max="7688" width="8.7265625" style="30" customWidth="1"/>
    <col min="7689" max="7689" width="8.453125" style="30" customWidth="1"/>
    <col min="7690" max="7690" width="10.453125" style="30" customWidth="1"/>
    <col min="7691" max="7937" width="8.81640625" style="30"/>
    <col min="7938" max="7938" width="15.453125" style="30" customWidth="1"/>
    <col min="7939" max="7939" width="19" style="30" customWidth="1"/>
    <col min="7940" max="7940" width="12.453125" style="30" customWidth="1"/>
    <col min="7941" max="7941" width="11.7265625" style="30" customWidth="1"/>
    <col min="7942" max="7942" width="17.26953125" style="30" customWidth="1"/>
    <col min="7943" max="7943" width="13" style="30" customWidth="1"/>
    <col min="7944" max="7944" width="8.7265625" style="30" customWidth="1"/>
    <col min="7945" max="7945" width="8.453125" style="30" customWidth="1"/>
    <col min="7946" max="7946" width="10.453125" style="30" customWidth="1"/>
    <col min="7947" max="8193" width="8.81640625" style="30"/>
    <col min="8194" max="8194" width="15.453125" style="30" customWidth="1"/>
    <col min="8195" max="8195" width="19" style="30" customWidth="1"/>
    <col min="8196" max="8196" width="12.453125" style="30" customWidth="1"/>
    <col min="8197" max="8197" width="11.7265625" style="30" customWidth="1"/>
    <col min="8198" max="8198" width="17.26953125" style="30" customWidth="1"/>
    <col min="8199" max="8199" width="13" style="30" customWidth="1"/>
    <col min="8200" max="8200" width="8.7265625" style="30" customWidth="1"/>
    <col min="8201" max="8201" width="8.453125" style="30" customWidth="1"/>
    <col min="8202" max="8202" width="10.453125" style="30" customWidth="1"/>
    <col min="8203" max="8449" width="8.81640625" style="30"/>
    <col min="8450" max="8450" width="15.453125" style="30" customWidth="1"/>
    <col min="8451" max="8451" width="19" style="30" customWidth="1"/>
    <col min="8452" max="8452" width="12.453125" style="30" customWidth="1"/>
    <col min="8453" max="8453" width="11.7265625" style="30" customWidth="1"/>
    <col min="8454" max="8454" width="17.26953125" style="30" customWidth="1"/>
    <col min="8455" max="8455" width="13" style="30" customWidth="1"/>
    <col min="8456" max="8456" width="8.7265625" style="30" customWidth="1"/>
    <col min="8457" max="8457" width="8.453125" style="30" customWidth="1"/>
    <col min="8458" max="8458" width="10.453125" style="30" customWidth="1"/>
    <col min="8459" max="8705" width="8.81640625" style="30"/>
    <col min="8706" max="8706" width="15.453125" style="30" customWidth="1"/>
    <col min="8707" max="8707" width="19" style="30" customWidth="1"/>
    <col min="8708" max="8708" width="12.453125" style="30" customWidth="1"/>
    <col min="8709" max="8709" width="11.7265625" style="30" customWidth="1"/>
    <col min="8710" max="8710" width="17.26953125" style="30" customWidth="1"/>
    <col min="8711" max="8711" width="13" style="30" customWidth="1"/>
    <col min="8712" max="8712" width="8.7265625" style="30" customWidth="1"/>
    <col min="8713" max="8713" width="8.453125" style="30" customWidth="1"/>
    <col min="8714" max="8714" width="10.453125" style="30" customWidth="1"/>
    <col min="8715" max="8961" width="8.81640625" style="30"/>
    <col min="8962" max="8962" width="15.453125" style="30" customWidth="1"/>
    <col min="8963" max="8963" width="19" style="30" customWidth="1"/>
    <col min="8964" max="8964" width="12.453125" style="30" customWidth="1"/>
    <col min="8965" max="8965" width="11.7265625" style="30" customWidth="1"/>
    <col min="8966" max="8966" width="17.26953125" style="30" customWidth="1"/>
    <col min="8967" max="8967" width="13" style="30" customWidth="1"/>
    <col min="8968" max="8968" width="8.7265625" style="30" customWidth="1"/>
    <col min="8969" max="8969" width="8.453125" style="30" customWidth="1"/>
    <col min="8970" max="8970" width="10.453125" style="30" customWidth="1"/>
    <col min="8971" max="9217" width="8.81640625" style="30"/>
    <col min="9218" max="9218" width="15.453125" style="30" customWidth="1"/>
    <col min="9219" max="9219" width="19" style="30" customWidth="1"/>
    <col min="9220" max="9220" width="12.453125" style="30" customWidth="1"/>
    <col min="9221" max="9221" width="11.7265625" style="30" customWidth="1"/>
    <col min="9222" max="9222" width="17.26953125" style="30" customWidth="1"/>
    <col min="9223" max="9223" width="13" style="30" customWidth="1"/>
    <col min="9224" max="9224" width="8.7265625" style="30" customWidth="1"/>
    <col min="9225" max="9225" width="8.453125" style="30" customWidth="1"/>
    <col min="9226" max="9226" width="10.453125" style="30" customWidth="1"/>
    <col min="9227" max="9473" width="8.81640625" style="30"/>
    <col min="9474" max="9474" width="15.453125" style="30" customWidth="1"/>
    <col min="9475" max="9475" width="19" style="30" customWidth="1"/>
    <col min="9476" max="9476" width="12.453125" style="30" customWidth="1"/>
    <col min="9477" max="9477" width="11.7265625" style="30" customWidth="1"/>
    <col min="9478" max="9478" width="17.26953125" style="30" customWidth="1"/>
    <col min="9479" max="9479" width="13" style="30" customWidth="1"/>
    <col min="9480" max="9480" width="8.7265625" style="30" customWidth="1"/>
    <col min="9481" max="9481" width="8.453125" style="30" customWidth="1"/>
    <col min="9482" max="9482" width="10.453125" style="30" customWidth="1"/>
    <col min="9483" max="9729" width="8.81640625" style="30"/>
    <col min="9730" max="9730" width="15.453125" style="30" customWidth="1"/>
    <col min="9731" max="9731" width="19" style="30" customWidth="1"/>
    <col min="9732" max="9732" width="12.453125" style="30" customWidth="1"/>
    <col min="9733" max="9733" width="11.7265625" style="30" customWidth="1"/>
    <col min="9734" max="9734" width="17.26953125" style="30" customWidth="1"/>
    <col min="9735" max="9735" width="13" style="30" customWidth="1"/>
    <col min="9736" max="9736" width="8.7265625" style="30" customWidth="1"/>
    <col min="9737" max="9737" width="8.453125" style="30" customWidth="1"/>
    <col min="9738" max="9738" width="10.453125" style="30" customWidth="1"/>
    <col min="9739" max="9985" width="8.81640625" style="30"/>
    <col min="9986" max="9986" width="15.453125" style="30" customWidth="1"/>
    <col min="9987" max="9987" width="19" style="30" customWidth="1"/>
    <col min="9988" max="9988" width="12.453125" style="30" customWidth="1"/>
    <col min="9989" max="9989" width="11.7265625" style="30" customWidth="1"/>
    <col min="9990" max="9990" width="17.26953125" style="30" customWidth="1"/>
    <col min="9991" max="9991" width="13" style="30" customWidth="1"/>
    <col min="9992" max="9992" width="8.7265625" style="30" customWidth="1"/>
    <col min="9993" max="9993" width="8.453125" style="30" customWidth="1"/>
    <col min="9994" max="9994" width="10.453125" style="30" customWidth="1"/>
    <col min="9995" max="10241" width="8.81640625" style="30"/>
    <col min="10242" max="10242" width="15.453125" style="30" customWidth="1"/>
    <col min="10243" max="10243" width="19" style="30" customWidth="1"/>
    <col min="10244" max="10244" width="12.453125" style="30" customWidth="1"/>
    <col min="10245" max="10245" width="11.7265625" style="30" customWidth="1"/>
    <col min="10246" max="10246" width="17.26953125" style="30" customWidth="1"/>
    <col min="10247" max="10247" width="13" style="30" customWidth="1"/>
    <col min="10248" max="10248" width="8.7265625" style="30" customWidth="1"/>
    <col min="10249" max="10249" width="8.453125" style="30" customWidth="1"/>
    <col min="10250" max="10250" width="10.453125" style="30" customWidth="1"/>
    <col min="10251" max="10497" width="8.81640625" style="30"/>
    <col min="10498" max="10498" width="15.453125" style="30" customWidth="1"/>
    <col min="10499" max="10499" width="19" style="30" customWidth="1"/>
    <col min="10500" max="10500" width="12.453125" style="30" customWidth="1"/>
    <col min="10501" max="10501" width="11.7265625" style="30" customWidth="1"/>
    <col min="10502" max="10502" width="17.26953125" style="30" customWidth="1"/>
    <col min="10503" max="10503" width="13" style="30" customWidth="1"/>
    <col min="10504" max="10504" width="8.7265625" style="30" customWidth="1"/>
    <col min="10505" max="10505" width="8.453125" style="30" customWidth="1"/>
    <col min="10506" max="10506" width="10.453125" style="30" customWidth="1"/>
    <col min="10507" max="10753" width="8.81640625" style="30"/>
    <col min="10754" max="10754" width="15.453125" style="30" customWidth="1"/>
    <col min="10755" max="10755" width="19" style="30" customWidth="1"/>
    <col min="10756" max="10756" width="12.453125" style="30" customWidth="1"/>
    <col min="10757" max="10757" width="11.7265625" style="30" customWidth="1"/>
    <col min="10758" max="10758" width="17.26953125" style="30" customWidth="1"/>
    <col min="10759" max="10759" width="13" style="30" customWidth="1"/>
    <col min="10760" max="10760" width="8.7265625" style="30" customWidth="1"/>
    <col min="10761" max="10761" width="8.453125" style="30" customWidth="1"/>
    <col min="10762" max="10762" width="10.453125" style="30" customWidth="1"/>
    <col min="10763" max="11009" width="8.81640625" style="30"/>
    <col min="11010" max="11010" width="15.453125" style="30" customWidth="1"/>
    <col min="11011" max="11011" width="19" style="30" customWidth="1"/>
    <col min="11012" max="11012" width="12.453125" style="30" customWidth="1"/>
    <col min="11013" max="11013" width="11.7265625" style="30" customWidth="1"/>
    <col min="11014" max="11014" width="17.26953125" style="30" customWidth="1"/>
    <col min="11015" max="11015" width="13" style="30" customWidth="1"/>
    <col min="11016" max="11016" width="8.7265625" style="30" customWidth="1"/>
    <col min="11017" max="11017" width="8.453125" style="30" customWidth="1"/>
    <col min="11018" max="11018" width="10.453125" style="30" customWidth="1"/>
    <col min="11019" max="11265" width="8.81640625" style="30"/>
    <col min="11266" max="11266" width="15.453125" style="30" customWidth="1"/>
    <col min="11267" max="11267" width="19" style="30" customWidth="1"/>
    <col min="11268" max="11268" width="12.453125" style="30" customWidth="1"/>
    <col min="11269" max="11269" width="11.7265625" style="30" customWidth="1"/>
    <col min="11270" max="11270" width="17.26953125" style="30" customWidth="1"/>
    <col min="11271" max="11271" width="13" style="30" customWidth="1"/>
    <col min="11272" max="11272" width="8.7265625" style="30" customWidth="1"/>
    <col min="11273" max="11273" width="8.453125" style="30" customWidth="1"/>
    <col min="11274" max="11274" width="10.453125" style="30" customWidth="1"/>
    <col min="11275" max="11521" width="8.81640625" style="30"/>
    <col min="11522" max="11522" width="15.453125" style="30" customWidth="1"/>
    <col min="11523" max="11523" width="19" style="30" customWidth="1"/>
    <col min="11524" max="11524" width="12.453125" style="30" customWidth="1"/>
    <col min="11525" max="11525" width="11.7265625" style="30" customWidth="1"/>
    <col min="11526" max="11526" width="17.26953125" style="30" customWidth="1"/>
    <col min="11527" max="11527" width="13" style="30" customWidth="1"/>
    <col min="11528" max="11528" width="8.7265625" style="30" customWidth="1"/>
    <col min="11529" max="11529" width="8.453125" style="30" customWidth="1"/>
    <col min="11530" max="11530" width="10.453125" style="30" customWidth="1"/>
    <col min="11531" max="11777" width="8.81640625" style="30"/>
    <col min="11778" max="11778" width="15.453125" style="30" customWidth="1"/>
    <col min="11779" max="11779" width="19" style="30" customWidth="1"/>
    <col min="11780" max="11780" width="12.453125" style="30" customWidth="1"/>
    <col min="11781" max="11781" width="11.7265625" style="30" customWidth="1"/>
    <col min="11782" max="11782" width="17.26953125" style="30" customWidth="1"/>
    <col min="11783" max="11783" width="13" style="30" customWidth="1"/>
    <col min="11784" max="11784" width="8.7265625" style="30" customWidth="1"/>
    <col min="11785" max="11785" width="8.453125" style="30" customWidth="1"/>
    <col min="11786" max="11786" width="10.453125" style="30" customWidth="1"/>
    <col min="11787" max="12033" width="8.81640625" style="30"/>
    <col min="12034" max="12034" width="15.453125" style="30" customWidth="1"/>
    <col min="12035" max="12035" width="19" style="30" customWidth="1"/>
    <col min="12036" max="12036" width="12.453125" style="30" customWidth="1"/>
    <col min="12037" max="12037" width="11.7265625" style="30" customWidth="1"/>
    <col min="12038" max="12038" width="17.26953125" style="30" customWidth="1"/>
    <col min="12039" max="12039" width="13" style="30" customWidth="1"/>
    <col min="12040" max="12040" width="8.7265625" style="30" customWidth="1"/>
    <col min="12041" max="12041" width="8.453125" style="30" customWidth="1"/>
    <col min="12042" max="12042" width="10.453125" style="30" customWidth="1"/>
    <col min="12043" max="12289" width="8.81640625" style="30"/>
    <col min="12290" max="12290" width="15.453125" style="30" customWidth="1"/>
    <col min="12291" max="12291" width="19" style="30" customWidth="1"/>
    <col min="12292" max="12292" width="12.453125" style="30" customWidth="1"/>
    <col min="12293" max="12293" width="11.7265625" style="30" customWidth="1"/>
    <col min="12294" max="12294" width="17.26953125" style="30" customWidth="1"/>
    <col min="12295" max="12295" width="13" style="30" customWidth="1"/>
    <col min="12296" max="12296" width="8.7265625" style="30" customWidth="1"/>
    <col min="12297" max="12297" width="8.453125" style="30" customWidth="1"/>
    <col min="12298" max="12298" width="10.453125" style="30" customWidth="1"/>
    <col min="12299" max="12545" width="8.81640625" style="30"/>
    <col min="12546" max="12546" width="15.453125" style="30" customWidth="1"/>
    <col min="12547" max="12547" width="19" style="30" customWidth="1"/>
    <col min="12548" max="12548" width="12.453125" style="30" customWidth="1"/>
    <col min="12549" max="12549" width="11.7265625" style="30" customWidth="1"/>
    <col min="12550" max="12550" width="17.26953125" style="30" customWidth="1"/>
    <col min="12551" max="12551" width="13" style="30" customWidth="1"/>
    <col min="12552" max="12552" width="8.7265625" style="30" customWidth="1"/>
    <col min="12553" max="12553" width="8.453125" style="30" customWidth="1"/>
    <col min="12554" max="12554" width="10.453125" style="30" customWidth="1"/>
    <col min="12555" max="12801" width="8.81640625" style="30"/>
    <col min="12802" max="12802" width="15.453125" style="30" customWidth="1"/>
    <col min="12803" max="12803" width="19" style="30" customWidth="1"/>
    <col min="12804" max="12804" width="12.453125" style="30" customWidth="1"/>
    <col min="12805" max="12805" width="11.7265625" style="30" customWidth="1"/>
    <col min="12806" max="12806" width="17.26953125" style="30" customWidth="1"/>
    <col min="12807" max="12807" width="13" style="30" customWidth="1"/>
    <col min="12808" max="12808" width="8.7265625" style="30" customWidth="1"/>
    <col min="12809" max="12809" width="8.453125" style="30" customWidth="1"/>
    <col min="12810" max="12810" width="10.453125" style="30" customWidth="1"/>
    <col min="12811" max="13057" width="8.81640625" style="30"/>
    <col min="13058" max="13058" width="15.453125" style="30" customWidth="1"/>
    <col min="13059" max="13059" width="19" style="30" customWidth="1"/>
    <col min="13060" max="13060" width="12.453125" style="30" customWidth="1"/>
    <col min="13061" max="13061" width="11.7265625" style="30" customWidth="1"/>
    <col min="13062" max="13062" width="17.26953125" style="30" customWidth="1"/>
    <col min="13063" max="13063" width="13" style="30" customWidth="1"/>
    <col min="13064" max="13064" width="8.7265625" style="30" customWidth="1"/>
    <col min="13065" max="13065" width="8.453125" style="30" customWidth="1"/>
    <col min="13066" max="13066" width="10.453125" style="30" customWidth="1"/>
    <col min="13067" max="13313" width="8.81640625" style="30"/>
    <col min="13314" max="13314" width="15.453125" style="30" customWidth="1"/>
    <col min="13315" max="13315" width="19" style="30" customWidth="1"/>
    <col min="13316" max="13316" width="12.453125" style="30" customWidth="1"/>
    <col min="13317" max="13317" width="11.7265625" style="30" customWidth="1"/>
    <col min="13318" max="13318" width="17.26953125" style="30" customWidth="1"/>
    <col min="13319" max="13319" width="13" style="30" customWidth="1"/>
    <col min="13320" max="13320" width="8.7265625" style="30" customWidth="1"/>
    <col min="13321" max="13321" width="8.453125" style="30" customWidth="1"/>
    <col min="13322" max="13322" width="10.453125" style="30" customWidth="1"/>
    <col min="13323" max="13569" width="8.81640625" style="30"/>
    <col min="13570" max="13570" width="15.453125" style="30" customWidth="1"/>
    <col min="13571" max="13571" width="19" style="30" customWidth="1"/>
    <col min="13572" max="13572" width="12.453125" style="30" customWidth="1"/>
    <col min="13573" max="13573" width="11.7265625" style="30" customWidth="1"/>
    <col min="13574" max="13574" width="17.26953125" style="30" customWidth="1"/>
    <col min="13575" max="13575" width="13" style="30" customWidth="1"/>
    <col min="13576" max="13576" width="8.7265625" style="30" customWidth="1"/>
    <col min="13577" max="13577" width="8.453125" style="30" customWidth="1"/>
    <col min="13578" max="13578" width="10.453125" style="30" customWidth="1"/>
    <col min="13579" max="13825" width="8.81640625" style="30"/>
    <col min="13826" max="13826" width="15.453125" style="30" customWidth="1"/>
    <col min="13827" max="13827" width="19" style="30" customWidth="1"/>
    <col min="13828" max="13828" width="12.453125" style="30" customWidth="1"/>
    <col min="13829" max="13829" width="11.7265625" style="30" customWidth="1"/>
    <col min="13830" max="13830" width="17.26953125" style="30" customWidth="1"/>
    <col min="13831" max="13831" width="13" style="30" customWidth="1"/>
    <col min="13832" max="13832" width="8.7265625" style="30" customWidth="1"/>
    <col min="13833" max="13833" width="8.453125" style="30" customWidth="1"/>
    <col min="13834" max="13834" width="10.453125" style="30" customWidth="1"/>
    <col min="13835" max="14081" width="8.81640625" style="30"/>
    <col min="14082" max="14082" width="15.453125" style="30" customWidth="1"/>
    <col min="14083" max="14083" width="19" style="30" customWidth="1"/>
    <col min="14084" max="14084" width="12.453125" style="30" customWidth="1"/>
    <col min="14085" max="14085" width="11.7265625" style="30" customWidth="1"/>
    <col min="14086" max="14086" width="17.26953125" style="30" customWidth="1"/>
    <col min="14087" max="14087" width="13" style="30" customWidth="1"/>
    <col min="14088" max="14088" width="8.7265625" style="30" customWidth="1"/>
    <col min="14089" max="14089" width="8.453125" style="30" customWidth="1"/>
    <col min="14090" max="14090" width="10.453125" style="30" customWidth="1"/>
    <col min="14091" max="14337" width="8.81640625" style="30"/>
    <col min="14338" max="14338" width="15.453125" style="30" customWidth="1"/>
    <col min="14339" max="14339" width="19" style="30" customWidth="1"/>
    <col min="14340" max="14340" width="12.453125" style="30" customWidth="1"/>
    <col min="14341" max="14341" width="11.7265625" style="30" customWidth="1"/>
    <col min="14342" max="14342" width="17.26953125" style="30" customWidth="1"/>
    <col min="14343" max="14343" width="13" style="30" customWidth="1"/>
    <col min="14344" max="14344" width="8.7265625" style="30" customWidth="1"/>
    <col min="14345" max="14345" width="8.453125" style="30" customWidth="1"/>
    <col min="14346" max="14346" width="10.453125" style="30" customWidth="1"/>
    <col min="14347" max="14593" width="8.81640625" style="30"/>
    <col min="14594" max="14594" width="15.453125" style="30" customWidth="1"/>
    <col min="14595" max="14595" width="19" style="30" customWidth="1"/>
    <col min="14596" max="14596" width="12.453125" style="30" customWidth="1"/>
    <col min="14597" max="14597" width="11.7265625" style="30" customWidth="1"/>
    <col min="14598" max="14598" width="17.26953125" style="30" customWidth="1"/>
    <col min="14599" max="14599" width="13" style="30" customWidth="1"/>
    <col min="14600" max="14600" width="8.7265625" style="30" customWidth="1"/>
    <col min="14601" max="14601" width="8.453125" style="30" customWidth="1"/>
    <col min="14602" max="14602" width="10.453125" style="30" customWidth="1"/>
    <col min="14603" max="14849" width="8.81640625" style="30"/>
    <col min="14850" max="14850" width="15.453125" style="30" customWidth="1"/>
    <col min="14851" max="14851" width="19" style="30" customWidth="1"/>
    <col min="14852" max="14852" width="12.453125" style="30" customWidth="1"/>
    <col min="14853" max="14853" width="11.7265625" style="30" customWidth="1"/>
    <col min="14854" max="14854" width="17.26953125" style="30" customWidth="1"/>
    <col min="14855" max="14855" width="13" style="30" customWidth="1"/>
    <col min="14856" max="14856" width="8.7265625" style="30" customWidth="1"/>
    <col min="14857" max="14857" width="8.453125" style="30" customWidth="1"/>
    <col min="14858" max="14858" width="10.453125" style="30" customWidth="1"/>
    <col min="14859" max="15105" width="8.81640625" style="30"/>
    <col min="15106" max="15106" width="15.453125" style="30" customWidth="1"/>
    <col min="15107" max="15107" width="19" style="30" customWidth="1"/>
    <col min="15108" max="15108" width="12.453125" style="30" customWidth="1"/>
    <col min="15109" max="15109" width="11.7265625" style="30" customWidth="1"/>
    <col min="15110" max="15110" width="17.26953125" style="30" customWidth="1"/>
    <col min="15111" max="15111" width="13" style="30" customWidth="1"/>
    <col min="15112" max="15112" width="8.7265625" style="30" customWidth="1"/>
    <col min="15113" max="15113" width="8.453125" style="30" customWidth="1"/>
    <col min="15114" max="15114" width="10.453125" style="30" customWidth="1"/>
    <col min="15115" max="15361" width="8.81640625" style="30"/>
    <col min="15362" max="15362" width="15.453125" style="30" customWidth="1"/>
    <col min="15363" max="15363" width="19" style="30" customWidth="1"/>
    <col min="15364" max="15364" width="12.453125" style="30" customWidth="1"/>
    <col min="15365" max="15365" width="11.7265625" style="30" customWidth="1"/>
    <col min="15366" max="15366" width="17.26953125" style="30" customWidth="1"/>
    <col min="15367" max="15367" width="13" style="30" customWidth="1"/>
    <col min="15368" max="15368" width="8.7265625" style="30" customWidth="1"/>
    <col min="15369" max="15369" width="8.453125" style="30" customWidth="1"/>
    <col min="15370" max="15370" width="10.453125" style="30" customWidth="1"/>
    <col min="15371" max="15617" width="8.81640625" style="30"/>
    <col min="15618" max="15618" width="15.453125" style="30" customWidth="1"/>
    <col min="15619" max="15619" width="19" style="30" customWidth="1"/>
    <col min="15620" max="15620" width="12.453125" style="30" customWidth="1"/>
    <col min="15621" max="15621" width="11.7265625" style="30" customWidth="1"/>
    <col min="15622" max="15622" width="17.26953125" style="30" customWidth="1"/>
    <col min="15623" max="15623" width="13" style="30" customWidth="1"/>
    <col min="15624" max="15624" width="8.7265625" style="30" customWidth="1"/>
    <col min="15625" max="15625" width="8.453125" style="30" customWidth="1"/>
    <col min="15626" max="15626" width="10.453125" style="30" customWidth="1"/>
    <col min="15627" max="15873" width="8.81640625" style="30"/>
    <col min="15874" max="15874" width="15.453125" style="30" customWidth="1"/>
    <col min="15875" max="15875" width="19" style="30" customWidth="1"/>
    <col min="15876" max="15876" width="12.453125" style="30" customWidth="1"/>
    <col min="15877" max="15877" width="11.7265625" style="30" customWidth="1"/>
    <col min="15878" max="15878" width="17.26953125" style="30" customWidth="1"/>
    <col min="15879" max="15879" width="13" style="30" customWidth="1"/>
    <col min="15880" max="15880" width="8.7265625" style="30" customWidth="1"/>
    <col min="15881" max="15881" width="8.453125" style="30" customWidth="1"/>
    <col min="15882" max="15882" width="10.453125" style="30" customWidth="1"/>
    <col min="15883" max="16129" width="8.81640625" style="30"/>
    <col min="16130" max="16130" width="15.453125" style="30" customWidth="1"/>
    <col min="16131" max="16131" width="19" style="30" customWidth="1"/>
    <col min="16132" max="16132" width="12.453125" style="30" customWidth="1"/>
    <col min="16133" max="16133" width="11.7265625" style="30" customWidth="1"/>
    <col min="16134" max="16134" width="17.26953125" style="30" customWidth="1"/>
    <col min="16135" max="16135" width="13" style="30" customWidth="1"/>
    <col min="16136" max="16136" width="8.7265625" style="30" customWidth="1"/>
    <col min="16137" max="16137" width="8.453125" style="30" customWidth="1"/>
    <col min="16138" max="16138" width="10.453125" style="30" customWidth="1"/>
    <col min="16139" max="16384" width="8.81640625" style="30"/>
  </cols>
  <sheetData>
    <row r="1" spans="1:144" s="125" customFormat="1" ht="30" customHeight="1" x14ac:dyDescent="0.95">
      <c r="A1" s="126">
        <v>2021</v>
      </c>
      <c r="B1" s="127"/>
      <c r="C1" s="127" t="s">
        <v>95</v>
      </c>
      <c r="D1" s="127"/>
      <c r="E1" s="127"/>
      <c r="F1" s="127"/>
      <c r="G1" s="127"/>
      <c r="H1" s="127"/>
      <c r="I1" s="127"/>
      <c r="J1" s="127"/>
    </row>
    <row r="2" spans="1:144" ht="15.5" x14ac:dyDescent="0.35">
      <c r="A2" s="153" t="s">
        <v>96</v>
      </c>
      <c r="B2" s="153"/>
      <c r="C2" s="153"/>
      <c r="D2" s="153"/>
      <c r="E2" s="153"/>
      <c r="F2" s="153"/>
      <c r="G2" s="153"/>
      <c r="H2" s="153"/>
      <c r="I2" s="153"/>
      <c r="J2" s="153"/>
      <c r="K2" s="29"/>
    </row>
    <row r="3" spans="1:144" ht="15.5" x14ac:dyDescent="0.35">
      <c r="A3" s="154" t="s">
        <v>47</v>
      </c>
      <c r="B3" s="154"/>
      <c r="C3" s="113" t="s">
        <v>48</v>
      </c>
      <c r="D3" s="114" t="s">
        <v>49</v>
      </c>
      <c r="E3" s="114" t="s">
        <v>50</v>
      </c>
      <c r="F3" s="114" t="s">
        <v>51</v>
      </c>
      <c r="G3" s="154" t="s">
        <v>52</v>
      </c>
      <c r="H3" s="154"/>
      <c r="I3" s="154" t="s">
        <v>53</v>
      </c>
      <c r="J3" s="154"/>
      <c r="K3" s="29"/>
    </row>
    <row r="4" spans="1:144" ht="15.5" x14ac:dyDescent="0.35">
      <c r="A4" s="114"/>
      <c r="B4" s="114"/>
      <c r="C4" s="113" t="s">
        <v>54</v>
      </c>
      <c r="D4" s="114" t="s">
        <v>55</v>
      </c>
      <c r="E4" s="114" t="s">
        <v>55</v>
      </c>
      <c r="F4" s="114" t="s">
        <v>55</v>
      </c>
      <c r="G4" s="154" t="s">
        <v>56</v>
      </c>
      <c r="H4" s="154"/>
      <c r="I4" s="154" t="s">
        <v>57</v>
      </c>
      <c r="J4" s="154"/>
      <c r="K4" s="29"/>
    </row>
    <row r="5" spans="1:144" x14ac:dyDescent="0.35">
      <c r="A5" s="31"/>
      <c r="B5" s="31"/>
      <c r="C5" s="40"/>
      <c r="D5" s="31"/>
      <c r="E5" s="31"/>
      <c r="F5" s="31"/>
      <c r="G5" s="31"/>
      <c r="H5" s="31"/>
      <c r="I5" s="31"/>
      <c r="J5" s="31"/>
      <c r="K5" s="29"/>
    </row>
    <row r="6" spans="1:144" x14ac:dyDescent="0.35">
      <c r="A6" s="145" t="s">
        <v>58</v>
      </c>
      <c r="B6" s="145"/>
      <c r="C6" s="54">
        <f>SUM('Individual Responses'!C5:T5)</f>
        <v>2500</v>
      </c>
      <c r="D6" s="55">
        <f>'Individual Responses'!W6</f>
        <v>75</v>
      </c>
      <c r="E6" s="55">
        <f>'Individual Responses'!X6</f>
        <v>75</v>
      </c>
      <c r="F6" s="56">
        <f>'Individual Responses'!U5</f>
        <v>75</v>
      </c>
      <c r="G6" s="146">
        <f>C6*F6</f>
        <v>187500</v>
      </c>
      <c r="H6" s="146"/>
      <c r="I6" s="147">
        <f>'Individual Responses'!V5</f>
        <v>1</v>
      </c>
      <c r="J6" s="147">
        <f>'Individual Responses'!Y5</f>
        <v>0</v>
      </c>
      <c r="K6" s="29"/>
    </row>
    <row r="7" spans="1:144" s="34" customFormat="1" ht="15" thickBot="1" x14ac:dyDescent="0.4">
      <c r="A7" s="148" t="s">
        <v>59</v>
      </c>
      <c r="B7" s="148"/>
      <c r="C7" s="57">
        <f>SUM('Individual Responses'!C6:T6)</f>
        <v>75</v>
      </c>
      <c r="D7" s="58">
        <f>'Individual Responses'!W7</f>
        <v>0</v>
      </c>
      <c r="E7" s="58">
        <f>'Individual Responses'!X7</f>
        <v>0</v>
      </c>
      <c r="F7" s="59"/>
      <c r="G7" s="149"/>
      <c r="H7" s="149"/>
      <c r="I7" s="150"/>
      <c r="J7" s="150"/>
      <c r="K7" s="32"/>
      <c r="L7" s="3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</row>
    <row r="8" spans="1:144" x14ac:dyDescent="0.35">
      <c r="A8" s="145" t="s">
        <v>60</v>
      </c>
      <c r="B8" s="145"/>
      <c r="C8" s="60">
        <f>SUM('Individual Responses'!C8:T8)</f>
        <v>33700</v>
      </c>
      <c r="D8" s="55">
        <f>'Individual Responses'!W9</f>
        <v>210</v>
      </c>
      <c r="E8" s="55">
        <f>'Individual Responses'!X9</f>
        <v>195</v>
      </c>
      <c r="F8" s="56">
        <f>'Individual Responses'!U8</f>
        <v>200.89020771513353</v>
      </c>
      <c r="G8" s="146">
        <f t="shared" ref="G8:G36" si="0">C8*F8</f>
        <v>6770000</v>
      </c>
      <c r="H8" s="146"/>
      <c r="I8" s="147">
        <f>'Individual Responses'!V8</f>
        <v>4</v>
      </c>
      <c r="J8" s="147">
        <f>'Individual Responses'!Y8</f>
        <v>0</v>
      </c>
      <c r="K8" s="29"/>
      <c r="L8" s="29"/>
    </row>
    <row r="9" spans="1:144" x14ac:dyDescent="0.35">
      <c r="A9" s="128" t="s">
        <v>61</v>
      </c>
      <c r="B9" s="128"/>
      <c r="C9" s="61">
        <f>SUM('Individual Responses'!C10:T10)</f>
        <v>22924</v>
      </c>
      <c r="D9" s="62">
        <f>'Individual Responses'!W11</f>
        <v>219</v>
      </c>
      <c r="E9" s="62">
        <f>'Individual Responses'!X11</f>
        <v>197</v>
      </c>
      <c r="F9" s="63">
        <f>'Individual Responses'!U10</f>
        <v>200.50305356831268</v>
      </c>
      <c r="G9" s="129">
        <f t="shared" si="0"/>
        <v>4596332</v>
      </c>
      <c r="H9" s="129"/>
      <c r="I9" s="130">
        <f>'Individual Responses'!V10</f>
        <v>5</v>
      </c>
      <c r="J9" s="130">
        <f>'Individual Responses'!Y10</f>
        <v>0</v>
      </c>
      <c r="K9" s="29"/>
      <c r="L9" s="29"/>
    </row>
    <row r="10" spans="1:144" ht="15" thickBot="1" x14ac:dyDescent="0.4">
      <c r="A10" s="145" t="s">
        <v>62</v>
      </c>
      <c r="B10" s="145"/>
      <c r="C10" s="60">
        <f>SUM('Individual Responses'!C12:T12)</f>
        <v>44669</v>
      </c>
      <c r="D10" s="55">
        <f>'Individual Responses'!W13</f>
        <v>210</v>
      </c>
      <c r="E10" s="55">
        <f>'Individual Responses'!X13</f>
        <v>180</v>
      </c>
      <c r="F10" s="56">
        <f>'Individual Responses'!U12</f>
        <v>198.40706082518076</v>
      </c>
      <c r="G10" s="146">
        <f t="shared" si="0"/>
        <v>8862645</v>
      </c>
      <c r="H10" s="146"/>
      <c r="I10" s="147">
        <f>'Individual Responses'!V12</f>
        <v>5</v>
      </c>
      <c r="J10" s="147">
        <f>'Individual Responses'!Y12</f>
        <v>0</v>
      </c>
      <c r="K10" s="29"/>
      <c r="L10" s="29"/>
    </row>
    <row r="11" spans="1:144" s="36" customFormat="1" ht="15" thickBot="1" x14ac:dyDescent="0.4">
      <c r="A11" s="151" t="s">
        <v>63</v>
      </c>
      <c r="B11" s="151"/>
      <c r="C11" s="64">
        <f>SUM('Individual Responses'!C14:T14)</f>
        <v>101293</v>
      </c>
      <c r="D11" s="73">
        <f>'Individual Responses'!W15</f>
        <v>210</v>
      </c>
      <c r="E11" s="73">
        <f>'Individual Responses'!X15</f>
        <v>0</v>
      </c>
      <c r="F11" s="65">
        <f>'Individual Responses'!U14</f>
        <v>199.70755136090352</v>
      </c>
      <c r="G11" s="152">
        <f>C11*F11</f>
        <v>20228977</v>
      </c>
      <c r="H11" s="152"/>
      <c r="I11" s="155">
        <f>'Individual Responses'!V14</f>
        <v>10</v>
      </c>
      <c r="J11" s="155" t="e">
        <f>'Individual Responses'!#REF!</f>
        <v>#REF!</v>
      </c>
      <c r="K11" s="32"/>
      <c r="L11" s="35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</row>
    <row r="12" spans="1:144" ht="15" thickTop="1" x14ac:dyDescent="0.35">
      <c r="A12" s="128" t="s">
        <v>64</v>
      </c>
      <c r="B12" s="128"/>
      <c r="C12" s="61">
        <f>SUM('Individual Responses'!C16:T16)</f>
        <v>4256</v>
      </c>
      <c r="D12" s="71">
        <f>'Individual Responses'!W17</f>
        <v>40</v>
      </c>
      <c r="E12" s="71">
        <f>'Individual Responses'!X17</f>
        <v>35</v>
      </c>
      <c r="F12" s="63">
        <f>'Individual Responses'!U16</f>
        <v>35.939849624060152</v>
      </c>
      <c r="G12" s="129">
        <f t="shared" si="0"/>
        <v>152960</v>
      </c>
      <c r="H12" s="129"/>
      <c r="I12" s="130">
        <f>'Individual Responses'!V16</f>
        <v>2</v>
      </c>
      <c r="J12" s="130">
        <f>'Individual Responses'!Y16</f>
        <v>0</v>
      </c>
      <c r="K12" s="29"/>
    </row>
    <row r="13" spans="1:144" x14ac:dyDescent="0.35">
      <c r="A13" s="131" t="s">
        <v>65</v>
      </c>
      <c r="B13" s="131"/>
      <c r="C13" s="66">
        <f>SUM('Individual Responses'!C18:T18)</f>
        <v>0</v>
      </c>
      <c r="D13" s="72">
        <f>'Individual Responses'!W19</f>
        <v>0</v>
      </c>
      <c r="E13" s="72">
        <f>'Individual Responses'!X19</f>
        <v>0</v>
      </c>
      <c r="F13" s="67">
        <f>'Individual Responses'!U18</f>
        <v>0</v>
      </c>
      <c r="G13" s="132">
        <f t="shared" si="0"/>
        <v>0</v>
      </c>
      <c r="H13" s="132"/>
      <c r="I13" s="133">
        <f>'Individual Responses'!V18</f>
        <v>0</v>
      </c>
      <c r="J13" s="133">
        <f>'Individual Responses'!Y18</f>
        <v>0</v>
      </c>
      <c r="K13" s="29"/>
    </row>
    <row r="14" spans="1:144" x14ac:dyDescent="0.35">
      <c r="A14" s="128" t="s">
        <v>66</v>
      </c>
      <c r="B14" s="128"/>
      <c r="C14" s="61">
        <f>SUM('Individual Responses'!C20:T20)</f>
        <v>2000</v>
      </c>
      <c r="D14" s="71">
        <f>'Individual Responses'!W21</f>
        <v>30</v>
      </c>
      <c r="E14" s="71">
        <f>'Individual Responses'!X21</f>
        <v>30</v>
      </c>
      <c r="F14" s="63">
        <f>'Individual Responses'!U20</f>
        <v>30</v>
      </c>
      <c r="G14" s="129">
        <f t="shared" si="0"/>
        <v>60000</v>
      </c>
      <c r="H14" s="129"/>
      <c r="I14" s="130">
        <f>'Individual Responses'!V20</f>
        <v>1</v>
      </c>
      <c r="J14" s="130">
        <f>'Individual Responses'!Y20</f>
        <v>0</v>
      </c>
      <c r="K14" s="29"/>
    </row>
    <row r="15" spans="1:144" x14ac:dyDescent="0.35">
      <c r="A15" s="131" t="s">
        <v>67</v>
      </c>
      <c r="B15" s="131"/>
      <c r="C15" s="66">
        <f>SUM('Individual Responses'!C22:T22)</f>
        <v>0</v>
      </c>
      <c r="D15" s="72">
        <f>'Individual Responses'!W23</f>
        <v>0</v>
      </c>
      <c r="E15" s="72">
        <f>'Individual Responses'!X23</f>
        <v>0</v>
      </c>
      <c r="F15" s="67">
        <f>'Individual Responses'!U22</f>
        <v>0</v>
      </c>
      <c r="G15" s="132">
        <f t="shared" si="0"/>
        <v>0</v>
      </c>
      <c r="H15" s="132"/>
      <c r="I15" s="133">
        <f>'Individual Responses'!V22</f>
        <v>0</v>
      </c>
      <c r="J15" s="133">
        <f>'Individual Responses'!Y22</f>
        <v>0</v>
      </c>
      <c r="K15" s="29"/>
    </row>
    <row r="16" spans="1:144" x14ac:dyDescent="0.35">
      <c r="A16" s="68" t="s">
        <v>92</v>
      </c>
      <c r="B16" s="68"/>
      <c r="C16" s="61">
        <f>SUM('Individual Responses'!C24:T24)</f>
        <v>260</v>
      </c>
      <c r="D16" s="71">
        <f>'Individual Responses'!W25</f>
        <v>200</v>
      </c>
      <c r="E16" s="71">
        <f>'Individual Responses'!X25</f>
        <v>140</v>
      </c>
      <c r="F16" s="63">
        <f>'Individual Responses'!U24</f>
        <v>149.23076923076923</v>
      </c>
      <c r="G16" s="129">
        <f t="shared" si="0"/>
        <v>38800</v>
      </c>
      <c r="H16" s="129"/>
      <c r="I16" s="130">
        <f>'Individual Responses'!V24</f>
        <v>2</v>
      </c>
      <c r="J16" s="130">
        <f>'Individual Responses'!Y24</f>
        <v>0</v>
      </c>
      <c r="K16" s="29"/>
    </row>
    <row r="17" spans="1:11" x14ac:dyDescent="0.35">
      <c r="A17" s="131" t="s">
        <v>68</v>
      </c>
      <c r="B17" s="131"/>
      <c r="C17" s="66">
        <f>SUM('Individual Responses'!C26:T26)</f>
        <v>0</v>
      </c>
      <c r="D17" s="72">
        <f>'Individual Responses'!W27</f>
        <v>0</v>
      </c>
      <c r="E17" s="72">
        <f>'Individual Responses'!X27</f>
        <v>0</v>
      </c>
      <c r="F17" s="67">
        <f>'Individual Responses'!U26</f>
        <v>0</v>
      </c>
      <c r="G17" s="132">
        <f t="shared" si="0"/>
        <v>0</v>
      </c>
      <c r="H17" s="132"/>
      <c r="I17" s="133">
        <f>'Individual Responses'!V26</f>
        <v>0</v>
      </c>
      <c r="J17" s="133">
        <f>'Individual Responses'!Y26</f>
        <v>0</v>
      </c>
      <c r="K17" s="29"/>
    </row>
    <row r="18" spans="1:11" x14ac:dyDescent="0.35">
      <c r="A18" s="128" t="s">
        <v>69</v>
      </c>
      <c r="B18" s="128"/>
      <c r="C18" s="61">
        <f>SUM('Individual Responses'!C28:T28)</f>
        <v>120</v>
      </c>
      <c r="D18" s="71">
        <f>'Individual Responses'!W29</f>
        <v>100</v>
      </c>
      <c r="E18" s="71">
        <f>'Individual Responses'!X29</f>
        <v>100</v>
      </c>
      <c r="F18" s="63">
        <f>'Individual Responses'!U28</f>
        <v>100</v>
      </c>
      <c r="G18" s="129">
        <f t="shared" si="0"/>
        <v>12000</v>
      </c>
      <c r="H18" s="129"/>
      <c r="I18" s="130">
        <f>'Individual Responses'!V28</f>
        <v>1</v>
      </c>
      <c r="J18" s="130">
        <f>'Individual Responses'!Y28</f>
        <v>0</v>
      </c>
      <c r="K18" s="29"/>
    </row>
    <row r="19" spans="1:11" x14ac:dyDescent="0.35">
      <c r="A19" s="131" t="s">
        <v>70</v>
      </c>
      <c r="B19" s="131"/>
      <c r="C19" s="66">
        <f>SUM('Individual Responses'!C30:T30)</f>
        <v>800</v>
      </c>
      <c r="D19" s="72">
        <f>'Individual Responses'!W31</f>
        <v>200</v>
      </c>
      <c r="E19" s="72">
        <f>'Individual Responses'!X31</f>
        <v>50</v>
      </c>
      <c r="F19" s="67">
        <f>'Individual Responses'!U30</f>
        <v>125</v>
      </c>
      <c r="G19" s="132">
        <f t="shared" si="0"/>
        <v>100000</v>
      </c>
      <c r="H19" s="132"/>
      <c r="I19" s="133">
        <f>'Individual Responses'!V30</f>
        <v>2</v>
      </c>
      <c r="J19" s="133">
        <f>'Individual Responses'!Y30</f>
        <v>0</v>
      </c>
      <c r="K19" s="29"/>
    </row>
    <row r="20" spans="1:11" x14ac:dyDescent="0.35">
      <c r="A20" s="128" t="s">
        <v>71</v>
      </c>
      <c r="B20" s="128"/>
      <c r="C20" s="61">
        <f>SUM('Individual Responses'!C32:T32)</f>
        <v>92</v>
      </c>
      <c r="D20" s="71">
        <f>'Individual Responses'!W33</f>
        <v>125</v>
      </c>
      <c r="E20" s="71">
        <f>'Individual Responses'!X33</f>
        <v>125</v>
      </c>
      <c r="F20" s="63">
        <f>'Individual Responses'!U32</f>
        <v>125</v>
      </c>
      <c r="G20" s="129">
        <f t="shared" si="0"/>
        <v>11500</v>
      </c>
      <c r="H20" s="129"/>
      <c r="I20" s="130">
        <f>'Individual Responses'!V32</f>
        <v>1</v>
      </c>
      <c r="J20" s="130">
        <f>'Individual Responses'!Y32</f>
        <v>0</v>
      </c>
      <c r="K20" s="29"/>
    </row>
    <row r="21" spans="1:11" x14ac:dyDescent="0.35">
      <c r="A21" s="131" t="s">
        <v>99</v>
      </c>
      <c r="B21" s="131"/>
      <c r="C21" s="66">
        <f>SUM('Individual Responses'!C34:T34)</f>
        <v>4188</v>
      </c>
      <c r="D21" s="72">
        <f>'Individual Responses'!W35</f>
        <v>40</v>
      </c>
      <c r="E21" s="72">
        <f>'Individual Responses'!X35</f>
        <v>35</v>
      </c>
      <c r="F21" s="67">
        <f>'Individual Responses'!U34</f>
        <v>36.418338108882523</v>
      </c>
      <c r="G21" s="132">
        <f t="shared" si="0"/>
        <v>152520</v>
      </c>
      <c r="H21" s="132"/>
      <c r="I21" s="133">
        <f>'Individual Responses'!V34</f>
        <v>2</v>
      </c>
      <c r="J21" s="133">
        <f>'Individual Responses'!Y34</f>
        <v>0</v>
      </c>
      <c r="K21" s="29"/>
    </row>
    <row r="22" spans="1:11" x14ac:dyDescent="0.35">
      <c r="A22" s="128" t="s">
        <v>88</v>
      </c>
      <c r="B22" s="128"/>
      <c r="C22" s="61">
        <f>SUM('Individual Responses'!C36:T36)</f>
        <v>0</v>
      </c>
      <c r="D22" s="71">
        <f>'Individual Responses'!W37</f>
        <v>0</v>
      </c>
      <c r="E22" s="71">
        <f>'Individual Responses'!X37</f>
        <v>0</v>
      </c>
      <c r="F22" s="63">
        <f>'Individual Responses'!U36</f>
        <v>0</v>
      </c>
      <c r="G22" s="129">
        <f t="shared" si="0"/>
        <v>0</v>
      </c>
      <c r="H22" s="129"/>
      <c r="I22" s="130">
        <f>'Individual Responses'!V36</f>
        <v>0</v>
      </c>
      <c r="J22" s="130">
        <f>'Individual Responses'!Y36</f>
        <v>0</v>
      </c>
      <c r="K22" s="29"/>
    </row>
    <row r="23" spans="1:11" x14ac:dyDescent="0.35">
      <c r="A23" s="131" t="s">
        <v>72</v>
      </c>
      <c r="B23" s="131"/>
      <c r="C23" s="66">
        <f>SUM('Individual Responses'!C38:T38)</f>
        <v>0</v>
      </c>
      <c r="D23" s="72">
        <f>'Individual Responses'!W39</f>
        <v>0</v>
      </c>
      <c r="E23" s="72">
        <f>'Individual Responses'!X39</f>
        <v>0</v>
      </c>
      <c r="F23" s="67">
        <f>'Individual Responses'!U38</f>
        <v>0</v>
      </c>
      <c r="G23" s="132">
        <f t="shared" si="0"/>
        <v>0</v>
      </c>
      <c r="H23" s="132"/>
      <c r="I23" s="133">
        <f>'Individual Responses'!V38</f>
        <v>0</v>
      </c>
      <c r="J23" s="133">
        <f>'Individual Responses'!Y38</f>
        <v>0</v>
      </c>
      <c r="K23" s="29"/>
    </row>
    <row r="24" spans="1:11" x14ac:dyDescent="0.35">
      <c r="A24" s="128" t="s">
        <v>73</v>
      </c>
      <c r="B24" s="128"/>
      <c r="C24" s="61">
        <f>SUM('Individual Responses'!C40:T40)</f>
        <v>4411</v>
      </c>
      <c r="D24" s="71">
        <f>'Individual Responses'!W41</f>
        <v>40</v>
      </c>
      <c r="E24" s="71">
        <f>'Individual Responses'!X41</f>
        <v>35</v>
      </c>
      <c r="F24" s="63">
        <f>'Individual Responses'!U40</f>
        <v>36.372704602131037</v>
      </c>
      <c r="G24" s="129">
        <f t="shared" si="0"/>
        <v>160440</v>
      </c>
      <c r="H24" s="129"/>
      <c r="I24" s="130">
        <f>'Individual Responses'!V40</f>
        <v>3</v>
      </c>
      <c r="J24" s="130">
        <f>'Individual Responses'!Y40</f>
        <v>0</v>
      </c>
      <c r="K24" s="29"/>
    </row>
    <row r="25" spans="1:11" x14ac:dyDescent="0.35">
      <c r="A25" s="131" t="s">
        <v>74</v>
      </c>
      <c r="B25" s="131"/>
      <c r="C25" s="66">
        <f>SUM('Individual Responses'!C42:T42)</f>
        <v>287</v>
      </c>
      <c r="D25" s="72">
        <f>'Individual Responses'!W43</f>
        <v>40</v>
      </c>
      <c r="E25" s="72">
        <f>'Individual Responses'!X43</f>
        <v>35</v>
      </c>
      <c r="F25" s="67">
        <f>'Individual Responses'!U42</f>
        <v>38.954703832752614</v>
      </c>
      <c r="G25" s="132">
        <f t="shared" si="0"/>
        <v>11180</v>
      </c>
      <c r="H25" s="132"/>
      <c r="I25" s="133">
        <f>'Individual Responses'!V42</f>
        <v>2</v>
      </c>
      <c r="J25" s="133">
        <f>'Individual Responses'!Y42</f>
        <v>0</v>
      </c>
      <c r="K25" s="29"/>
    </row>
    <row r="26" spans="1:11" x14ac:dyDescent="0.35">
      <c r="A26" s="128" t="s">
        <v>75</v>
      </c>
      <c r="B26" s="128"/>
      <c r="C26" s="61">
        <f>SUM('Individual Responses'!C44:T44)</f>
        <v>0</v>
      </c>
      <c r="D26" s="71">
        <f>'Individual Responses'!W45</f>
        <v>0</v>
      </c>
      <c r="E26" s="71">
        <f>'Individual Responses'!X45</f>
        <v>0</v>
      </c>
      <c r="F26" s="63">
        <f>'Individual Responses'!U44</f>
        <v>0</v>
      </c>
      <c r="G26" s="129">
        <f t="shared" si="0"/>
        <v>0</v>
      </c>
      <c r="H26" s="129"/>
      <c r="I26" s="130">
        <f>'Individual Responses'!V44</f>
        <v>0</v>
      </c>
      <c r="J26" s="130">
        <f>'Individual Responses'!Y44</f>
        <v>0</v>
      </c>
      <c r="K26" s="29"/>
    </row>
    <row r="27" spans="1:11" x14ac:dyDescent="0.35">
      <c r="A27" s="131" t="s">
        <v>76</v>
      </c>
      <c r="B27" s="131"/>
      <c r="C27" s="66">
        <f>SUM('Individual Responses'!C46:T46)</f>
        <v>100</v>
      </c>
      <c r="D27" s="72">
        <f>'Individual Responses'!W47</f>
        <v>200</v>
      </c>
      <c r="E27" s="72">
        <f>'Individual Responses'!X47</f>
        <v>35</v>
      </c>
      <c r="F27" s="67">
        <f>'Individual Responses'!U46</f>
        <v>167</v>
      </c>
      <c r="G27" s="132">
        <f t="shared" si="0"/>
        <v>16700</v>
      </c>
      <c r="H27" s="132"/>
      <c r="I27" s="133">
        <f>'Individual Responses'!V46</f>
        <v>2</v>
      </c>
      <c r="J27" s="133">
        <f>'Individual Responses'!Y46</f>
        <v>0</v>
      </c>
      <c r="K27" s="29"/>
    </row>
    <row r="28" spans="1:11" x14ac:dyDescent="0.35">
      <c r="A28" s="128" t="s">
        <v>89</v>
      </c>
      <c r="B28" s="128"/>
      <c r="C28" s="61">
        <f>SUM('Individual Responses'!C48:T48)</f>
        <v>0</v>
      </c>
      <c r="D28" s="71">
        <f>'Individual Responses'!W49</f>
        <v>0</v>
      </c>
      <c r="E28" s="71">
        <f>'Individual Responses'!X49</f>
        <v>0</v>
      </c>
      <c r="F28" s="63">
        <f>'Individual Responses'!U48</f>
        <v>0</v>
      </c>
      <c r="G28" s="129">
        <f t="shared" si="0"/>
        <v>0</v>
      </c>
      <c r="H28" s="129"/>
      <c r="I28" s="130">
        <f>'Individual Responses'!V48</f>
        <v>0</v>
      </c>
      <c r="J28" s="130">
        <f>'Individual Responses'!Y48</f>
        <v>0</v>
      </c>
      <c r="K28" s="29"/>
    </row>
    <row r="29" spans="1:11" x14ac:dyDescent="0.35">
      <c r="A29" s="131" t="s">
        <v>77</v>
      </c>
      <c r="B29" s="131"/>
      <c r="C29" s="66">
        <f>SUM('Individual Responses'!C50:T50)</f>
        <v>70</v>
      </c>
      <c r="D29" s="72">
        <f>'Individual Responses'!W51</f>
        <v>40</v>
      </c>
      <c r="E29" s="72">
        <f>'Individual Responses'!X51</f>
        <v>35</v>
      </c>
      <c r="F29" s="67">
        <f>'Individual Responses'!U50</f>
        <v>35.714285714285715</v>
      </c>
      <c r="G29" s="132">
        <f t="shared" si="0"/>
        <v>2500</v>
      </c>
      <c r="H29" s="132"/>
      <c r="I29" s="133">
        <f>'Individual Responses'!V50</f>
        <v>2</v>
      </c>
      <c r="J29" s="133">
        <f>'Individual Responses'!Y50</f>
        <v>0</v>
      </c>
      <c r="K29" s="29"/>
    </row>
    <row r="30" spans="1:11" x14ac:dyDescent="0.35">
      <c r="A30" s="128" t="s">
        <v>78</v>
      </c>
      <c r="B30" s="128"/>
      <c r="C30" s="61">
        <f>SUM('Individual Responses'!C52:T52)</f>
        <v>4476</v>
      </c>
      <c r="D30" s="71">
        <f>'Individual Responses'!W53</f>
        <v>18.5</v>
      </c>
      <c r="E30" s="71">
        <f>'Individual Responses'!X53</f>
        <v>14</v>
      </c>
      <c r="F30" s="63">
        <f>'Individual Responses'!U52</f>
        <v>14.422698838248436</v>
      </c>
      <c r="G30" s="129">
        <f t="shared" si="0"/>
        <v>64556</v>
      </c>
      <c r="H30" s="129"/>
      <c r="I30" s="130">
        <f>'Individual Responses'!V52</f>
        <v>3</v>
      </c>
      <c r="J30" s="130">
        <f>'Individual Responses'!Y52</f>
        <v>0</v>
      </c>
      <c r="K30" s="29"/>
    </row>
    <row r="31" spans="1:11" x14ac:dyDescent="0.35">
      <c r="A31" s="131" t="s">
        <v>79</v>
      </c>
      <c r="B31" s="131"/>
      <c r="C31" s="66">
        <f>SUM('Individual Responses'!C54:T54)</f>
        <v>0</v>
      </c>
      <c r="D31" s="72">
        <f>'Individual Responses'!W55</f>
        <v>0</v>
      </c>
      <c r="E31" s="72">
        <f>'Individual Responses'!X55</f>
        <v>0</v>
      </c>
      <c r="F31" s="67">
        <f>'Individual Responses'!U54</f>
        <v>0</v>
      </c>
      <c r="G31" s="132">
        <f t="shared" si="0"/>
        <v>0</v>
      </c>
      <c r="H31" s="132"/>
      <c r="I31" s="133">
        <f>'Individual Responses'!V54</f>
        <v>0</v>
      </c>
      <c r="J31" s="133">
        <f>'Individual Responses'!Y54</f>
        <v>0</v>
      </c>
      <c r="K31" s="29"/>
    </row>
    <row r="32" spans="1:11" x14ac:dyDescent="0.35">
      <c r="A32" s="128" t="s">
        <v>90</v>
      </c>
      <c r="B32" s="128"/>
      <c r="C32" s="61">
        <f>SUM('Individual Responses'!C56:T56)</f>
        <v>0</v>
      </c>
      <c r="D32" s="71">
        <f>'Individual Responses'!W57</f>
        <v>0</v>
      </c>
      <c r="E32" s="71">
        <f>'Individual Responses'!X57</f>
        <v>0</v>
      </c>
      <c r="F32" s="63">
        <f>'Individual Responses'!U56</f>
        <v>0</v>
      </c>
      <c r="G32" s="129">
        <f t="shared" si="0"/>
        <v>0</v>
      </c>
      <c r="H32" s="129"/>
      <c r="I32" s="130">
        <f>'Individual Responses'!V56</f>
        <v>0</v>
      </c>
      <c r="J32" s="130">
        <f>'Individual Responses'!Y56</f>
        <v>0</v>
      </c>
      <c r="K32" s="29"/>
    </row>
    <row r="33" spans="1:11" x14ac:dyDescent="0.35">
      <c r="A33" s="131" t="s">
        <v>80</v>
      </c>
      <c r="B33" s="131"/>
      <c r="C33" s="66">
        <f>SUM('Individual Responses'!C58:T58)</f>
        <v>1956</v>
      </c>
      <c r="D33" s="72">
        <f>'Individual Responses'!W59</f>
        <v>40</v>
      </c>
      <c r="E33" s="72">
        <f>'Individual Responses'!X59</f>
        <v>35</v>
      </c>
      <c r="F33" s="67">
        <f>'Individual Responses'!U58</f>
        <v>36.676891615541919</v>
      </c>
      <c r="G33" s="132">
        <f t="shared" si="0"/>
        <v>71740</v>
      </c>
      <c r="H33" s="132"/>
      <c r="I33" s="133">
        <f>'Individual Responses'!V58</f>
        <v>3</v>
      </c>
      <c r="J33" s="133">
        <f>'Individual Responses'!Y58</f>
        <v>0</v>
      </c>
      <c r="K33" s="29"/>
    </row>
    <row r="34" spans="1:11" x14ac:dyDescent="0.35">
      <c r="A34" s="128" t="s">
        <v>81</v>
      </c>
      <c r="B34" s="128"/>
      <c r="C34" s="61">
        <f>SUM('Individual Responses'!C60:T60)</f>
        <v>15861</v>
      </c>
      <c r="D34" s="71">
        <f>'Individual Responses'!W61</f>
        <v>45</v>
      </c>
      <c r="E34" s="71">
        <f>'Individual Responses'!X61</f>
        <v>32</v>
      </c>
      <c r="F34" s="63">
        <f>'Individual Responses'!U60</f>
        <v>34.340836012861736</v>
      </c>
      <c r="G34" s="129">
        <f t="shared" si="0"/>
        <v>544680</v>
      </c>
      <c r="H34" s="129"/>
      <c r="I34" s="130">
        <f>'Individual Responses'!V60</f>
        <v>4</v>
      </c>
      <c r="J34" s="130">
        <f>'Individual Responses'!Y60</f>
        <v>0</v>
      </c>
      <c r="K34" s="29"/>
    </row>
    <row r="35" spans="1:11" x14ac:dyDescent="0.35">
      <c r="A35" s="131" t="s">
        <v>82</v>
      </c>
      <c r="B35" s="131"/>
      <c r="C35" s="66">
        <f>SUM('Individual Responses'!C62:T62)</f>
        <v>3757</v>
      </c>
      <c r="D35" s="72">
        <f>'Individual Responses'!W63</f>
        <v>110</v>
      </c>
      <c r="E35" s="72">
        <f>'Individual Responses'!X63</f>
        <v>35</v>
      </c>
      <c r="F35" s="67">
        <f>'Individual Responses'!U62</f>
        <v>54.937450093159434</v>
      </c>
      <c r="G35" s="132">
        <f t="shared" si="0"/>
        <v>206400</v>
      </c>
      <c r="H35" s="132"/>
      <c r="I35" s="133">
        <f>'Individual Responses'!V62</f>
        <v>5</v>
      </c>
      <c r="J35" s="133">
        <f>'Individual Responses'!Y62</f>
        <v>0</v>
      </c>
      <c r="K35" s="29"/>
    </row>
    <row r="36" spans="1:11" x14ac:dyDescent="0.35">
      <c r="A36" s="141" t="s">
        <v>83</v>
      </c>
      <c r="B36" s="141"/>
      <c r="C36" s="69">
        <f>SUM('Individual Responses'!C64:T64)</f>
        <v>450</v>
      </c>
      <c r="D36" s="43">
        <f>'Individual Responses'!W65</f>
        <v>200</v>
      </c>
      <c r="E36" s="43">
        <f>'Individual Responses'!X65</f>
        <v>200</v>
      </c>
      <c r="F36" s="70">
        <f>'Individual Responses'!U64</f>
        <v>200</v>
      </c>
      <c r="G36" s="129">
        <f t="shared" si="0"/>
        <v>90000</v>
      </c>
      <c r="H36" s="129"/>
      <c r="I36" s="130">
        <f>'Individual Responses'!V64</f>
        <v>1</v>
      </c>
      <c r="J36" s="130">
        <f>'Individual Responses'!Y64</f>
        <v>0</v>
      </c>
      <c r="K36" s="29"/>
    </row>
    <row r="37" spans="1:11" ht="16.5" customHeight="1" x14ac:dyDescent="0.45">
      <c r="A37" s="134"/>
      <c r="B37" s="134"/>
      <c r="C37" s="134"/>
      <c r="D37" s="134"/>
      <c r="E37" s="134"/>
      <c r="F37" s="44"/>
      <c r="G37" s="135" t="s">
        <v>0</v>
      </c>
      <c r="H37" s="136"/>
      <c r="I37" s="136"/>
      <c r="J37" s="137"/>
      <c r="K37" s="29"/>
    </row>
    <row r="38" spans="1:11" ht="15.5" x14ac:dyDescent="0.45">
      <c r="A38" s="142" t="str">
        <f>"AVERAGE WINTER MORTALITY RATE " &amp;"("&amp;A1 &amp;"-" &amp;A1+1 &amp;")"</f>
        <v>AVERAGE WINTER MORTALITY RATE (2021-2022)</v>
      </c>
      <c r="B38" s="142"/>
      <c r="C38" s="142"/>
      <c r="D38" s="142"/>
      <c r="E38" s="142"/>
      <c r="F38" s="45">
        <f>'Individual Responses'!U68</f>
        <v>0.25000000000000006</v>
      </c>
      <c r="G38" s="138"/>
      <c r="H38" s="139"/>
      <c r="I38" s="139"/>
      <c r="J38" s="140"/>
      <c r="K38" s="29"/>
    </row>
    <row r="39" spans="1:11" ht="15.5" x14ac:dyDescent="0.45">
      <c r="A39" s="134" t="str">
        <f>"AVERAGE " &amp;A1+1 &amp;" PROJECTED ALMOND POLLINATION FEE*"</f>
        <v>AVERAGE 2022 PROJECTED ALMOND POLLINATION FEE*</v>
      </c>
      <c r="B39" s="134"/>
      <c r="C39" s="134"/>
      <c r="D39" s="134"/>
      <c r="E39" s="134"/>
      <c r="F39" s="46">
        <f>'Individual Responses'!V69</f>
        <v>202.88758730763035</v>
      </c>
      <c r="G39" s="47" t="s">
        <v>84</v>
      </c>
      <c r="H39" s="47" t="s">
        <v>85</v>
      </c>
      <c r="I39" s="47" t="s">
        <v>86</v>
      </c>
      <c r="J39" s="48" t="s">
        <v>87</v>
      </c>
      <c r="K39" s="29"/>
    </row>
    <row r="40" spans="1:11" ht="16" x14ac:dyDescent="0.5">
      <c r="A40" s="143" t="s">
        <v>3</v>
      </c>
      <c r="B40" s="144"/>
      <c r="C40" s="144"/>
      <c r="D40" s="144"/>
      <c r="E40" s="144"/>
      <c r="F40" s="92">
        <f>'Individual Responses'!U70</f>
        <v>4.7</v>
      </c>
      <c r="G40" s="93">
        <f>A1-2</f>
        <v>2019</v>
      </c>
      <c r="H40" s="49">
        <v>179.64</v>
      </c>
      <c r="I40" s="49">
        <v>188.52</v>
      </c>
      <c r="J40" s="51">
        <f>H40-I40</f>
        <v>-8.8800000000000239</v>
      </c>
      <c r="K40" s="29"/>
    </row>
    <row r="41" spans="1:11" x14ac:dyDescent="0.35">
      <c r="A41" s="94"/>
      <c r="B41" s="95"/>
      <c r="C41" s="96"/>
      <c r="D41" s="95"/>
      <c r="E41" s="95"/>
      <c r="F41" s="97"/>
      <c r="G41" s="93">
        <f>A1-1</f>
        <v>2020</v>
      </c>
      <c r="H41" s="49">
        <v>193.77</v>
      </c>
      <c r="I41" s="50">
        <v>184.43</v>
      </c>
      <c r="J41" s="51">
        <f>H41-I41</f>
        <v>9.3400000000000034</v>
      </c>
    </row>
    <row r="42" spans="1:11" x14ac:dyDescent="0.35">
      <c r="A42" s="98"/>
      <c r="B42" s="29"/>
      <c r="C42" s="99"/>
      <c r="D42" s="29"/>
      <c r="E42" s="29"/>
      <c r="F42" s="100"/>
      <c r="G42" s="93">
        <f>A1</f>
        <v>2021</v>
      </c>
      <c r="H42" s="49">
        <v>190.02</v>
      </c>
      <c r="I42" s="50">
        <f>F11</f>
        <v>199.70755136090352</v>
      </c>
      <c r="J42" s="51">
        <f>H42-I42</f>
        <v>-9.6875513609035124</v>
      </c>
    </row>
    <row r="43" spans="1:11" x14ac:dyDescent="0.35">
      <c r="A43" s="101" t="str">
        <f>"*(Weighted by Colonies Pollinating Almonds in " &amp;A1 &amp;")"</f>
        <v>*(Weighted by Colonies Pollinating Almonds in 2021)</v>
      </c>
      <c r="B43" s="102"/>
      <c r="C43" s="103"/>
      <c r="D43" s="102"/>
      <c r="E43" s="102"/>
      <c r="F43" s="104"/>
      <c r="G43" s="93">
        <f>A1+1</f>
        <v>2022</v>
      </c>
      <c r="H43" s="49">
        <f>F39</f>
        <v>202.88758730763035</v>
      </c>
      <c r="I43" s="105"/>
      <c r="J43" s="106" t="str">
        <f>IF(I43=0, "NA",H43-I43)</f>
        <v>NA</v>
      </c>
    </row>
    <row r="44" spans="1:11" x14ac:dyDescent="0.35">
      <c r="A44" s="30" t="s">
        <v>93</v>
      </c>
      <c r="G44" s="37"/>
      <c r="H44" s="37"/>
      <c r="I44" s="37"/>
    </row>
    <row r="45" spans="1:11" hidden="1" x14ac:dyDescent="0.35">
      <c r="G45" s="52">
        <f>F39</f>
        <v>202.88758730763035</v>
      </c>
      <c r="H45" s="53">
        <f>F11</f>
        <v>199.70755136090352</v>
      </c>
      <c r="I45" s="51">
        <f>G45-H45</f>
        <v>3.1800359467268322</v>
      </c>
    </row>
    <row r="46" spans="1:11" hidden="1" x14ac:dyDescent="0.35">
      <c r="J46" s="38"/>
    </row>
    <row r="49" spans="11:11" x14ac:dyDescent="0.35">
      <c r="K49" s="39"/>
    </row>
  </sheetData>
  <mergeCells count="103">
    <mergeCell ref="G12:H12"/>
    <mergeCell ref="I12:J12"/>
    <mergeCell ref="A13:B13"/>
    <mergeCell ref="G13:H13"/>
    <mergeCell ref="I13:J13"/>
    <mergeCell ref="A20:B20"/>
    <mergeCell ref="G20:H20"/>
    <mergeCell ref="I20:J20"/>
    <mergeCell ref="A2:J2"/>
    <mergeCell ref="A3:B3"/>
    <mergeCell ref="G3:H3"/>
    <mergeCell ref="I3:J3"/>
    <mergeCell ref="G4:H4"/>
    <mergeCell ref="I4:J4"/>
    <mergeCell ref="I11:J11"/>
    <mergeCell ref="A8:B8"/>
    <mergeCell ref="G8:H8"/>
    <mergeCell ref="I8:J8"/>
    <mergeCell ref="A9:B9"/>
    <mergeCell ref="G9:H9"/>
    <mergeCell ref="I9:J9"/>
    <mergeCell ref="A40:E40"/>
    <mergeCell ref="A6:B6"/>
    <mergeCell ref="G6:H6"/>
    <mergeCell ref="I6:J6"/>
    <mergeCell ref="A7:B7"/>
    <mergeCell ref="G7:H7"/>
    <mergeCell ref="I7:J7"/>
    <mergeCell ref="G16:H16"/>
    <mergeCell ref="I16:J16"/>
    <mergeCell ref="A17:B17"/>
    <mergeCell ref="G17:H17"/>
    <mergeCell ref="I17:J17"/>
    <mergeCell ref="A14:B14"/>
    <mergeCell ref="G14:H14"/>
    <mergeCell ref="I14:J14"/>
    <mergeCell ref="A15:B15"/>
    <mergeCell ref="G15:H15"/>
    <mergeCell ref="I15:J15"/>
    <mergeCell ref="A12:B12"/>
    <mergeCell ref="A10:B10"/>
    <mergeCell ref="G10:H10"/>
    <mergeCell ref="I10:J10"/>
    <mergeCell ref="A11:B11"/>
    <mergeCell ref="G11:H11"/>
    <mergeCell ref="I23:J23"/>
    <mergeCell ref="A21:B21"/>
    <mergeCell ref="G21:H21"/>
    <mergeCell ref="I21:J21"/>
    <mergeCell ref="A18:B18"/>
    <mergeCell ref="G18:H18"/>
    <mergeCell ref="I18:J18"/>
    <mergeCell ref="A19:B19"/>
    <mergeCell ref="G19:H19"/>
    <mergeCell ref="I19:J19"/>
    <mergeCell ref="A22:B22"/>
    <mergeCell ref="G22:H22"/>
    <mergeCell ref="I22:J22"/>
    <mergeCell ref="A24:B24"/>
    <mergeCell ref="G24:H24"/>
    <mergeCell ref="I24:J24"/>
    <mergeCell ref="A25:B25"/>
    <mergeCell ref="G25:H25"/>
    <mergeCell ref="I25:J25"/>
    <mergeCell ref="A23:B23"/>
    <mergeCell ref="G23:H23"/>
    <mergeCell ref="A39:E39"/>
    <mergeCell ref="G37:J38"/>
    <mergeCell ref="A36:B36"/>
    <mergeCell ref="G36:H36"/>
    <mergeCell ref="A37:E37"/>
    <mergeCell ref="A38:E38"/>
    <mergeCell ref="A30:B30"/>
    <mergeCell ref="G30:H30"/>
    <mergeCell ref="I30:J30"/>
    <mergeCell ref="A31:B31"/>
    <mergeCell ref="G31:H31"/>
    <mergeCell ref="I31:J31"/>
    <mergeCell ref="I34:J34"/>
    <mergeCell ref="A35:B35"/>
    <mergeCell ref="G35:H35"/>
    <mergeCell ref="I35:J35"/>
    <mergeCell ref="A28:B28"/>
    <mergeCell ref="G28:H28"/>
    <mergeCell ref="I28:J28"/>
    <mergeCell ref="A29:B29"/>
    <mergeCell ref="G29:H29"/>
    <mergeCell ref="I29:J29"/>
    <mergeCell ref="A26:B26"/>
    <mergeCell ref="I36:J36"/>
    <mergeCell ref="A34:B34"/>
    <mergeCell ref="G34:H34"/>
    <mergeCell ref="G26:H26"/>
    <mergeCell ref="I26:J26"/>
    <mergeCell ref="A27:B27"/>
    <mergeCell ref="G27:H27"/>
    <mergeCell ref="I27:J27"/>
    <mergeCell ref="A32:B32"/>
    <mergeCell ref="G32:H32"/>
    <mergeCell ref="I32:J32"/>
    <mergeCell ref="A33:B33"/>
    <mergeCell ref="G33:H33"/>
    <mergeCell ref="I33:J33"/>
  </mergeCells>
  <pageMargins left="0.7" right="0.7" top="0.75" bottom="0.75" header="0.3" footer="0.3"/>
  <pageSetup fitToWidth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79"/>
  <sheetViews>
    <sheetView workbookViewId="0">
      <pane xSplit="2" ySplit="4" topLeftCell="C56" activePane="bottomRight" state="frozen"/>
      <selection pane="topRight" activeCell="C1" sqref="C1"/>
      <selection pane="bottomLeft" activeCell="A5" sqref="A5"/>
      <selection pane="bottomRight" activeCell="E77" sqref="E77"/>
    </sheetView>
  </sheetViews>
  <sheetFormatPr defaultColWidth="8.81640625" defaultRowHeight="14.5" x14ac:dyDescent="0.35"/>
  <cols>
    <col min="1" max="1" width="15" style="1" customWidth="1"/>
    <col min="2" max="2" width="20.7265625" style="1" bestFit="1" customWidth="1"/>
    <col min="3" max="3" width="10.54296875" style="1" bestFit="1" customWidth="1"/>
    <col min="4" max="7" width="9" style="1" bestFit="1" customWidth="1"/>
    <col min="8" max="8" width="10.08984375" style="1" bestFit="1" customWidth="1"/>
    <col min="9" max="15" width="9" style="1" bestFit="1" customWidth="1"/>
    <col min="16" max="16" width="8" style="1" bestFit="1" customWidth="1"/>
    <col min="17" max="17" width="9" style="1" bestFit="1" customWidth="1"/>
    <col min="18" max="19" width="5.453125" style="1" bestFit="1" customWidth="1"/>
    <col min="20" max="20" width="7" style="1" bestFit="1" customWidth="1"/>
    <col min="21" max="21" width="33.54296875" style="10" bestFit="1" customWidth="1"/>
    <col min="22" max="22" width="20.7265625" style="1" bestFit="1" customWidth="1"/>
    <col min="23" max="23" width="6" style="1" bestFit="1" customWidth="1"/>
    <col min="24" max="24" width="5.1796875" style="1" bestFit="1" customWidth="1"/>
    <col min="25" max="25" width="8.81640625" style="1"/>
    <col min="26" max="26" width="28.7265625" style="1" bestFit="1" customWidth="1"/>
    <col min="27" max="27" width="20.7265625" style="1" bestFit="1" customWidth="1"/>
    <col min="28" max="16384" width="8.81640625" style="1"/>
  </cols>
  <sheetData>
    <row r="2" spans="1:24" x14ac:dyDescent="0.35">
      <c r="U2" s="12" t="s">
        <v>46</v>
      </c>
      <c r="V2" s="86">
        <f>SUMPRODUCT(--(C70:T70&gt;0))</f>
        <v>10</v>
      </c>
    </row>
    <row r="3" spans="1:24" s="27" customFormat="1" ht="15" customHeight="1" thickBot="1" x14ac:dyDescent="0.4">
      <c r="A3" s="159" t="s">
        <v>11</v>
      </c>
      <c r="B3" s="160"/>
      <c r="C3" s="25">
        <v>1</v>
      </c>
      <c r="D3" s="25">
        <v>2</v>
      </c>
      <c r="E3" s="25">
        <v>3</v>
      </c>
      <c r="F3" s="25">
        <v>4</v>
      </c>
      <c r="G3" s="25">
        <v>5</v>
      </c>
      <c r="H3" s="25">
        <v>6</v>
      </c>
      <c r="I3" s="25">
        <v>7</v>
      </c>
      <c r="J3" s="25">
        <v>8</v>
      </c>
      <c r="K3" s="25">
        <v>9</v>
      </c>
      <c r="L3" s="25">
        <v>10</v>
      </c>
      <c r="M3" s="25">
        <v>11</v>
      </c>
      <c r="N3" s="25">
        <v>12</v>
      </c>
      <c r="O3" s="25">
        <v>13</v>
      </c>
      <c r="P3" s="25">
        <v>14</v>
      </c>
      <c r="Q3" s="25">
        <v>15</v>
      </c>
      <c r="R3" s="25">
        <v>16</v>
      </c>
      <c r="S3" s="25">
        <v>17</v>
      </c>
      <c r="T3" s="25">
        <v>18</v>
      </c>
      <c r="U3" s="162" t="s">
        <v>12</v>
      </c>
      <c r="V3" s="158" t="s">
        <v>15</v>
      </c>
      <c r="W3" s="158" t="s">
        <v>16</v>
      </c>
      <c r="X3" s="158" t="s">
        <v>17</v>
      </c>
    </row>
    <row r="4" spans="1:24" ht="21.5" thickTop="1" x14ac:dyDescent="0.5">
      <c r="A4" s="161" t="s">
        <v>94</v>
      </c>
      <c r="B4" s="16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162"/>
      <c r="V4" s="158"/>
      <c r="W4" s="158"/>
      <c r="X4" s="158"/>
    </row>
    <row r="5" spans="1:24" s="3" customFormat="1" x14ac:dyDescent="0.35">
      <c r="A5" s="163" t="s">
        <v>10</v>
      </c>
      <c r="B5" s="13" t="s">
        <v>8</v>
      </c>
      <c r="C5" s="107"/>
      <c r="D5" s="107"/>
      <c r="E5" s="107">
        <v>2500</v>
      </c>
      <c r="F5" s="16"/>
      <c r="G5" s="16"/>
      <c r="H5" s="16"/>
      <c r="I5" s="16"/>
      <c r="J5" s="16"/>
      <c r="K5" s="16"/>
      <c r="L5" s="16"/>
      <c r="M5" s="16"/>
      <c r="N5" s="123"/>
      <c r="O5" s="16"/>
      <c r="P5" s="16"/>
      <c r="Q5" s="16"/>
      <c r="R5" s="16"/>
      <c r="S5" s="16"/>
      <c r="T5" s="16"/>
      <c r="U5" s="165">
        <f>IFERROR(SUMPRODUCT(C5:T5, C6:T6)/SUM(C5:T5), )</f>
        <v>75</v>
      </c>
      <c r="V5" s="166">
        <f>SUMPRODUCT(--(C5:T5&gt;0))</f>
        <v>1</v>
      </c>
      <c r="W5" s="77">
        <f>MAX(C5:T5)</f>
        <v>2500</v>
      </c>
      <c r="X5" s="77">
        <f t="shared" ref="X5:X36" si="0">MIN(C5:T5)</f>
        <v>2500</v>
      </c>
    </row>
    <row r="6" spans="1:24" s="4" customFormat="1" x14ac:dyDescent="0.35">
      <c r="A6" s="163"/>
      <c r="B6" s="13" t="s">
        <v>9</v>
      </c>
      <c r="C6" s="108"/>
      <c r="D6" s="108"/>
      <c r="E6" s="108">
        <v>75</v>
      </c>
      <c r="F6" s="17"/>
      <c r="G6" s="17"/>
      <c r="H6" s="17"/>
      <c r="I6" s="17"/>
      <c r="J6" s="17"/>
      <c r="K6" s="17"/>
      <c r="L6" s="17"/>
      <c r="M6" s="17"/>
      <c r="N6" s="116"/>
      <c r="O6" s="17"/>
      <c r="P6" s="17"/>
      <c r="Q6" s="17"/>
      <c r="R6" s="17"/>
      <c r="S6" s="17"/>
      <c r="T6" s="17"/>
      <c r="U6" s="165"/>
      <c r="V6" s="166"/>
      <c r="W6" s="77">
        <f>MAX(C6:T6)</f>
        <v>75</v>
      </c>
      <c r="X6" s="77">
        <f t="shared" si="0"/>
        <v>75</v>
      </c>
    </row>
    <row r="7" spans="1:24" s="2" customFormat="1" x14ac:dyDescent="0.35">
      <c r="A7" s="28" t="s">
        <v>13</v>
      </c>
      <c r="B7" s="14"/>
      <c r="C7" s="109"/>
      <c r="D7" s="109"/>
      <c r="E7" s="10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78"/>
      <c r="V7" s="79"/>
      <c r="W7" s="79"/>
      <c r="X7" s="79">
        <f t="shared" si="0"/>
        <v>0</v>
      </c>
    </row>
    <row r="8" spans="1:24" s="3" customFormat="1" x14ac:dyDescent="0.35">
      <c r="A8" s="164" t="s">
        <v>14</v>
      </c>
      <c r="B8" s="13" t="s">
        <v>8</v>
      </c>
      <c r="C8" s="107"/>
      <c r="D8" s="121"/>
      <c r="E8" s="107">
        <v>9000</v>
      </c>
      <c r="F8" s="123"/>
      <c r="G8" s="123">
        <v>10500</v>
      </c>
      <c r="H8" s="16">
        <v>2200</v>
      </c>
      <c r="I8" s="123">
        <v>12000</v>
      </c>
      <c r="J8" s="16"/>
      <c r="K8" s="16"/>
      <c r="L8" s="16"/>
      <c r="M8" s="16"/>
      <c r="N8" s="123"/>
      <c r="O8" s="16"/>
      <c r="P8" s="16"/>
      <c r="Q8" s="16"/>
      <c r="R8" s="16"/>
      <c r="S8" s="16"/>
      <c r="T8" s="16"/>
      <c r="U8" s="165">
        <f>IFERROR(SUMPRODUCT(C8:T8, C9:T9)/SUM(C8:T8), )</f>
        <v>200.89020771513353</v>
      </c>
      <c r="V8" s="166">
        <f>SUMPRODUCT(--(C8:T8&gt;0))</f>
        <v>4</v>
      </c>
      <c r="W8" s="77">
        <f t="shared" ref="W8:W39" si="1">MAX(C8:T8)</f>
        <v>12000</v>
      </c>
      <c r="X8" s="77">
        <f t="shared" si="0"/>
        <v>2200</v>
      </c>
    </row>
    <row r="9" spans="1:24" s="4" customFormat="1" x14ac:dyDescent="0.35">
      <c r="A9" s="164"/>
      <c r="B9" s="13" t="s">
        <v>9</v>
      </c>
      <c r="C9" s="115"/>
      <c r="D9" s="115"/>
      <c r="E9" s="115">
        <v>210</v>
      </c>
      <c r="F9" s="116"/>
      <c r="G9" s="116">
        <v>200</v>
      </c>
      <c r="H9" s="116">
        <v>200</v>
      </c>
      <c r="I9" s="116">
        <v>195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65"/>
      <c r="V9" s="166"/>
      <c r="W9" s="77">
        <f t="shared" si="1"/>
        <v>210</v>
      </c>
      <c r="X9" s="77">
        <f t="shared" si="0"/>
        <v>195</v>
      </c>
    </row>
    <row r="10" spans="1:24" s="6" customFormat="1" x14ac:dyDescent="0.35">
      <c r="A10" s="156" t="s">
        <v>18</v>
      </c>
      <c r="B10" s="15" t="s">
        <v>8</v>
      </c>
      <c r="C10" s="19"/>
      <c r="D10" s="19"/>
      <c r="E10" s="19"/>
      <c r="F10" s="19">
        <v>11000</v>
      </c>
      <c r="G10" s="19">
        <v>580</v>
      </c>
      <c r="H10" s="19">
        <v>2588</v>
      </c>
      <c r="I10" s="19"/>
      <c r="J10" s="19">
        <v>300</v>
      </c>
      <c r="K10" s="19"/>
      <c r="L10" s="19">
        <v>8456</v>
      </c>
      <c r="M10" s="19"/>
      <c r="N10" s="19"/>
      <c r="O10" s="19"/>
      <c r="P10" s="19"/>
      <c r="Q10" s="19"/>
      <c r="R10" s="19"/>
      <c r="S10" s="19"/>
      <c r="T10" s="19"/>
      <c r="U10" s="168">
        <f>IFERROR(SUMPRODUCT(C10:T10, C11:T11)/SUM(C10:T10), )</f>
        <v>200.50305356831268</v>
      </c>
      <c r="V10" s="167">
        <f>SUMPRODUCT(--(C10:T10&gt;0))</f>
        <v>5</v>
      </c>
      <c r="W10" s="80">
        <f t="shared" si="1"/>
        <v>11000</v>
      </c>
      <c r="X10" s="80">
        <f t="shared" si="0"/>
        <v>300</v>
      </c>
    </row>
    <row r="11" spans="1:24" s="7" customFormat="1" x14ac:dyDescent="0.35">
      <c r="A11" s="156"/>
      <c r="B11" s="15" t="s">
        <v>9</v>
      </c>
      <c r="C11" s="20"/>
      <c r="D11" s="20"/>
      <c r="E11" s="20"/>
      <c r="F11" s="20">
        <v>200</v>
      </c>
      <c r="G11" s="20">
        <v>219</v>
      </c>
      <c r="H11" s="20">
        <v>210</v>
      </c>
      <c r="I11" s="20"/>
      <c r="J11" s="20">
        <v>200</v>
      </c>
      <c r="K11" s="20"/>
      <c r="L11" s="20">
        <v>197</v>
      </c>
      <c r="M11" s="20"/>
      <c r="N11" s="20"/>
      <c r="O11" s="20"/>
      <c r="P11" s="20"/>
      <c r="Q11" s="20"/>
      <c r="R11" s="20"/>
      <c r="S11" s="20"/>
      <c r="T11" s="20"/>
      <c r="U11" s="168"/>
      <c r="V11" s="167"/>
      <c r="W11" s="80">
        <f t="shared" si="1"/>
        <v>219</v>
      </c>
      <c r="X11" s="80">
        <f t="shared" si="0"/>
        <v>197</v>
      </c>
    </row>
    <row r="12" spans="1:24" s="3" customFormat="1" x14ac:dyDescent="0.35">
      <c r="A12" s="164" t="s">
        <v>97</v>
      </c>
      <c r="B12" s="13" t="s">
        <v>8</v>
      </c>
      <c r="C12" s="107">
        <v>6000</v>
      </c>
      <c r="D12" s="121">
        <v>8500</v>
      </c>
      <c r="E12" s="121"/>
      <c r="F12" s="16">
        <v>22000</v>
      </c>
      <c r="G12" s="123"/>
      <c r="H12" s="123">
        <v>7969</v>
      </c>
      <c r="I12" s="123"/>
      <c r="J12" s="16"/>
      <c r="K12" s="16">
        <v>200</v>
      </c>
      <c r="L12" s="123"/>
      <c r="M12" s="123"/>
      <c r="N12" s="16"/>
      <c r="O12" s="123"/>
      <c r="P12" s="16"/>
      <c r="Q12" s="16"/>
      <c r="R12" s="16"/>
      <c r="S12" s="16"/>
      <c r="T12" s="16"/>
      <c r="U12" s="165">
        <f>IFERROR(SUMPRODUCT(C12:T12, C13:T13)/SUM(C12:T12), )</f>
        <v>198.40706082518076</v>
      </c>
      <c r="V12" s="166">
        <f>SUMPRODUCT(--(C12:T12&gt;0))</f>
        <v>5</v>
      </c>
      <c r="W12" s="77">
        <f>MAX(C12:T12)</f>
        <v>22000</v>
      </c>
      <c r="X12" s="77">
        <f>MIN(C12:T12)</f>
        <v>200</v>
      </c>
    </row>
    <row r="13" spans="1:24" s="4" customFormat="1" x14ac:dyDescent="0.35">
      <c r="A13" s="164"/>
      <c r="B13" s="13" t="s">
        <v>9</v>
      </c>
      <c r="C13" s="115">
        <v>210</v>
      </c>
      <c r="D13" s="115">
        <v>180</v>
      </c>
      <c r="E13" s="115"/>
      <c r="F13" s="116">
        <v>200</v>
      </c>
      <c r="G13" s="116"/>
      <c r="H13" s="116">
        <v>205</v>
      </c>
      <c r="I13" s="116"/>
      <c r="J13" s="116"/>
      <c r="K13" s="116">
        <v>195</v>
      </c>
      <c r="L13" s="116"/>
      <c r="M13" s="116"/>
      <c r="N13" s="116"/>
      <c r="O13" s="116"/>
      <c r="P13" s="116"/>
      <c r="Q13" s="116"/>
      <c r="R13" s="116"/>
      <c r="S13" s="116"/>
      <c r="T13" s="116"/>
      <c r="U13" s="165"/>
      <c r="V13" s="166"/>
      <c r="W13" s="77">
        <f t="shared" si="1"/>
        <v>210</v>
      </c>
      <c r="X13" s="77">
        <f t="shared" si="0"/>
        <v>180</v>
      </c>
    </row>
    <row r="14" spans="1:24" s="75" customFormat="1" ht="23.25" customHeight="1" x14ac:dyDescent="0.35">
      <c r="A14" s="157" t="s">
        <v>19</v>
      </c>
      <c r="B14" s="74" t="s">
        <v>8</v>
      </c>
      <c r="C14" s="110">
        <f>C8+C10+C12</f>
        <v>6000</v>
      </c>
      <c r="D14" s="110">
        <f>D8+D10+D12</f>
        <v>8500</v>
      </c>
      <c r="E14" s="110">
        <f t="shared" ref="E14:T14" si="2">E8+E10+E12</f>
        <v>9000</v>
      </c>
      <c r="F14" s="76">
        <f t="shared" si="2"/>
        <v>33000</v>
      </c>
      <c r="G14" s="76">
        <f t="shared" si="2"/>
        <v>11080</v>
      </c>
      <c r="H14" s="76">
        <f t="shared" si="2"/>
        <v>12757</v>
      </c>
      <c r="I14" s="76">
        <f t="shared" si="2"/>
        <v>12000</v>
      </c>
      <c r="J14" s="76">
        <f t="shared" si="2"/>
        <v>300</v>
      </c>
      <c r="K14" s="76">
        <f t="shared" si="2"/>
        <v>200</v>
      </c>
      <c r="L14" s="76">
        <f t="shared" si="2"/>
        <v>8456</v>
      </c>
      <c r="M14" s="76">
        <f t="shared" si="2"/>
        <v>0</v>
      </c>
      <c r="N14" s="76">
        <f t="shared" si="2"/>
        <v>0</v>
      </c>
      <c r="O14" s="76">
        <f t="shared" si="2"/>
        <v>0</v>
      </c>
      <c r="P14" s="76">
        <f t="shared" si="2"/>
        <v>0</v>
      </c>
      <c r="Q14" s="76">
        <f t="shared" si="2"/>
        <v>0</v>
      </c>
      <c r="R14" s="76">
        <f t="shared" si="2"/>
        <v>0</v>
      </c>
      <c r="S14" s="76">
        <f t="shared" si="2"/>
        <v>0</v>
      </c>
      <c r="T14" s="76">
        <f t="shared" si="2"/>
        <v>0</v>
      </c>
      <c r="U14" s="175">
        <f>IFERROR(SUMPRODUCT(C14:T14, C15:T15)/SUM(C14:T14),0)</f>
        <v>199.70755136090352</v>
      </c>
      <c r="V14" s="176">
        <f>SUMPRODUCT(--(C14:T14&gt;0))</f>
        <v>10</v>
      </c>
      <c r="W14" s="81">
        <f t="shared" si="1"/>
        <v>33000</v>
      </c>
      <c r="X14" s="82">
        <f t="shared" si="0"/>
        <v>0</v>
      </c>
    </row>
    <row r="15" spans="1:24" s="75" customFormat="1" ht="37.5" customHeight="1" x14ac:dyDescent="0.35">
      <c r="A15" s="157"/>
      <c r="B15" s="74" t="s">
        <v>45</v>
      </c>
      <c r="C15" s="110">
        <f>IFERROR((C8*C9+C10*C11+C12*C13)/C14, )</f>
        <v>210</v>
      </c>
      <c r="D15" s="110">
        <f t="shared" ref="D15:T15" si="3">IFERROR((D8*D9+D10*D11+D12*D13)/D14, )</f>
        <v>180</v>
      </c>
      <c r="E15" s="110">
        <f t="shared" si="3"/>
        <v>210</v>
      </c>
      <c r="F15" s="76">
        <f t="shared" si="3"/>
        <v>200</v>
      </c>
      <c r="G15" s="76">
        <f>IFERROR((G8*G9+G10*G11+G12*G13)/G14, )</f>
        <v>200.99458483754512</v>
      </c>
      <c r="H15" s="76">
        <f t="shared" si="3"/>
        <v>205.15207337148232</v>
      </c>
      <c r="I15" s="76">
        <f t="shared" si="3"/>
        <v>195</v>
      </c>
      <c r="J15" s="76">
        <f t="shared" si="3"/>
        <v>200</v>
      </c>
      <c r="K15" s="76">
        <f t="shared" si="3"/>
        <v>195</v>
      </c>
      <c r="L15" s="76">
        <f t="shared" si="3"/>
        <v>197</v>
      </c>
      <c r="M15" s="76">
        <f t="shared" si="3"/>
        <v>0</v>
      </c>
      <c r="N15" s="76">
        <f t="shared" si="3"/>
        <v>0</v>
      </c>
      <c r="O15" s="76">
        <f t="shared" si="3"/>
        <v>0</v>
      </c>
      <c r="P15" s="76">
        <f t="shared" si="3"/>
        <v>0</v>
      </c>
      <c r="Q15" s="76">
        <f t="shared" si="3"/>
        <v>0</v>
      </c>
      <c r="R15" s="76">
        <f t="shared" si="3"/>
        <v>0</v>
      </c>
      <c r="S15" s="76">
        <f t="shared" si="3"/>
        <v>0</v>
      </c>
      <c r="T15" s="76">
        <f t="shared" si="3"/>
        <v>0</v>
      </c>
      <c r="U15" s="175"/>
      <c r="V15" s="176"/>
      <c r="W15" s="81">
        <f t="shared" si="1"/>
        <v>210</v>
      </c>
      <c r="X15" s="81">
        <f t="shared" si="0"/>
        <v>0</v>
      </c>
    </row>
    <row r="16" spans="1:24" s="6" customFormat="1" x14ac:dyDescent="0.35">
      <c r="A16" s="156" t="s">
        <v>20</v>
      </c>
      <c r="B16" s="15" t="s">
        <v>8</v>
      </c>
      <c r="C16" s="111"/>
      <c r="D16" s="111"/>
      <c r="E16" s="111"/>
      <c r="F16" s="21">
        <v>800</v>
      </c>
      <c r="G16" s="21"/>
      <c r="H16" s="21">
        <v>3456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168">
        <f>IFERROR(SUMPRODUCT(C16:T16, C17:T17)/SUM(C16:T16), )</f>
        <v>35.939849624060152</v>
      </c>
      <c r="V16" s="167">
        <f>SUMPRODUCT(--(C16:T16&gt;0))</f>
        <v>2</v>
      </c>
      <c r="W16" s="80">
        <f t="shared" si="1"/>
        <v>3456</v>
      </c>
      <c r="X16" s="80">
        <f t="shared" si="0"/>
        <v>800</v>
      </c>
    </row>
    <row r="17" spans="1:24" s="7" customFormat="1" x14ac:dyDescent="0.35">
      <c r="A17" s="156"/>
      <c r="B17" s="15" t="s">
        <v>9</v>
      </c>
      <c r="C17" s="117"/>
      <c r="D17" s="117"/>
      <c r="E17" s="117"/>
      <c r="F17" s="118">
        <v>40</v>
      </c>
      <c r="G17" s="118"/>
      <c r="H17" s="118">
        <v>35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68"/>
      <c r="V17" s="167"/>
      <c r="W17" s="80">
        <f t="shared" si="1"/>
        <v>40</v>
      </c>
      <c r="X17" s="80">
        <f t="shared" si="0"/>
        <v>35</v>
      </c>
    </row>
    <row r="18" spans="1:24" s="3" customFormat="1" x14ac:dyDescent="0.35">
      <c r="A18" s="164" t="s">
        <v>21</v>
      </c>
      <c r="B18" s="13" t="s">
        <v>8</v>
      </c>
      <c r="C18" s="107"/>
      <c r="D18" s="107"/>
      <c r="E18" s="107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5">
        <f>IFERROR(SUMPRODUCT(C18:T18, C19:T19)/SUM(C18:T18), )</f>
        <v>0</v>
      </c>
      <c r="V18" s="177">
        <f>SUMPRODUCT(--(C18:T18&gt;0))</f>
        <v>0</v>
      </c>
      <c r="W18" s="77">
        <f t="shared" si="1"/>
        <v>0</v>
      </c>
      <c r="X18" s="77">
        <f t="shared" si="0"/>
        <v>0</v>
      </c>
    </row>
    <row r="19" spans="1:24" s="4" customFormat="1" x14ac:dyDescent="0.35">
      <c r="A19" s="164"/>
      <c r="B19" s="13" t="s">
        <v>9</v>
      </c>
      <c r="C19" s="108"/>
      <c r="D19" s="108"/>
      <c r="E19" s="10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65"/>
      <c r="V19" s="178"/>
      <c r="W19" s="77">
        <f t="shared" si="1"/>
        <v>0</v>
      </c>
      <c r="X19" s="77">
        <f t="shared" si="0"/>
        <v>0</v>
      </c>
    </row>
    <row r="20" spans="1:24" s="6" customFormat="1" x14ac:dyDescent="0.35">
      <c r="A20" s="156" t="s">
        <v>100</v>
      </c>
      <c r="B20" s="15" t="s">
        <v>8</v>
      </c>
      <c r="C20" s="111"/>
      <c r="D20" s="111"/>
      <c r="E20" s="111">
        <v>2000</v>
      </c>
      <c r="F20" s="21"/>
      <c r="G20" s="21"/>
      <c r="H20" s="21"/>
      <c r="I20" s="21"/>
      <c r="J20" s="21"/>
      <c r="K20" s="21"/>
      <c r="L20" s="21"/>
      <c r="M20" s="21"/>
      <c r="N20" s="124"/>
      <c r="O20" s="21"/>
      <c r="P20" s="21"/>
      <c r="Q20" s="21"/>
      <c r="R20" s="21"/>
      <c r="S20" s="21"/>
      <c r="T20" s="21"/>
      <c r="U20" s="168">
        <f>IFERROR(SUMPRODUCT(C20:T20, C21:T21)/SUM(C20:T20), )</f>
        <v>30</v>
      </c>
      <c r="V20" s="173">
        <f>SUMPRODUCT(--(C20:T20&gt;0))</f>
        <v>1</v>
      </c>
      <c r="W20" s="80">
        <f t="shared" si="1"/>
        <v>2000</v>
      </c>
      <c r="X20" s="80">
        <f t="shared" si="0"/>
        <v>2000</v>
      </c>
    </row>
    <row r="21" spans="1:24" s="7" customFormat="1" x14ac:dyDescent="0.35">
      <c r="A21" s="156"/>
      <c r="B21" s="15" t="s">
        <v>9</v>
      </c>
      <c r="C21" s="112"/>
      <c r="D21" s="112"/>
      <c r="E21" s="112">
        <v>30</v>
      </c>
      <c r="F21" s="22"/>
      <c r="G21" s="22"/>
      <c r="H21" s="22"/>
      <c r="I21" s="22"/>
      <c r="J21" s="22"/>
      <c r="K21" s="22"/>
      <c r="L21" s="22"/>
      <c r="M21" s="22"/>
      <c r="N21" s="118"/>
      <c r="O21" s="22"/>
      <c r="P21" s="22"/>
      <c r="Q21" s="22"/>
      <c r="R21" s="22"/>
      <c r="S21" s="22"/>
      <c r="T21" s="22"/>
      <c r="U21" s="168"/>
      <c r="V21" s="174"/>
      <c r="W21" s="80">
        <f t="shared" si="1"/>
        <v>30</v>
      </c>
      <c r="X21" s="80">
        <f t="shared" si="0"/>
        <v>30</v>
      </c>
    </row>
    <row r="22" spans="1:24" s="3" customFormat="1" x14ac:dyDescent="0.35">
      <c r="A22" s="169" t="s">
        <v>22</v>
      </c>
      <c r="B22" s="13" t="s">
        <v>8</v>
      </c>
      <c r="C22" s="107"/>
      <c r="D22" s="107"/>
      <c r="E22" s="107"/>
      <c r="F22" s="16"/>
      <c r="G22" s="16"/>
      <c r="H22" s="16"/>
      <c r="I22" s="16"/>
      <c r="J22" s="16"/>
      <c r="K22" s="16"/>
      <c r="L22" s="16"/>
      <c r="M22" s="16"/>
      <c r="N22" s="123"/>
      <c r="O22" s="16"/>
      <c r="P22" s="16"/>
      <c r="Q22" s="16"/>
      <c r="R22" s="16"/>
      <c r="S22" s="16"/>
      <c r="T22" s="16"/>
      <c r="U22" s="171">
        <f>IFERROR(SUMPRODUCT(C22:T22, C23:T23)/SUM(C22:T22), )</f>
        <v>0</v>
      </c>
      <c r="V22" s="177">
        <f>SUMPRODUCT(--(C22:T22&gt;0))</f>
        <v>0</v>
      </c>
      <c r="W22" s="77">
        <f t="shared" si="1"/>
        <v>0</v>
      </c>
      <c r="X22" s="77">
        <f t="shared" si="0"/>
        <v>0</v>
      </c>
    </row>
    <row r="23" spans="1:24" s="4" customFormat="1" x14ac:dyDescent="0.35">
      <c r="A23" s="170"/>
      <c r="B23" s="13" t="s">
        <v>9</v>
      </c>
      <c r="C23" s="108"/>
      <c r="D23" s="108"/>
      <c r="E23" s="10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2"/>
      <c r="V23" s="178"/>
      <c r="W23" s="77">
        <f t="shared" si="1"/>
        <v>0</v>
      </c>
      <c r="X23" s="77">
        <f t="shared" si="0"/>
        <v>0</v>
      </c>
    </row>
    <row r="24" spans="1:24" s="6" customFormat="1" x14ac:dyDescent="0.35">
      <c r="A24" s="156" t="s">
        <v>91</v>
      </c>
      <c r="B24" s="15" t="s">
        <v>8</v>
      </c>
      <c r="C24" s="111"/>
      <c r="D24" s="111"/>
      <c r="E24" s="111">
        <v>220</v>
      </c>
      <c r="F24" s="21"/>
      <c r="G24" s="21">
        <v>40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168">
        <f>IFERROR(SUMPRODUCT(C24:T24, C25:T25)/SUM(C24:T24), )</f>
        <v>149.23076923076923</v>
      </c>
      <c r="V24" s="173">
        <f>SUMPRODUCT(--(C24:T24&gt;0))</f>
        <v>2</v>
      </c>
      <c r="W24" s="80">
        <f t="shared" si="1"/>
        <v>220</v>
      </c>
      <c r="X24" s="80">
        <f t="shared" si="0"/>
        <v>40</v>
      </c>
    </row>
    <row r="25" spans="1:24" s="7" customFormat="1" x14ac:dyDescent="0.35">
      <c r="A25" s="156"/>
      <c r="B25" s="15" t="s">
        <v>9</v>
      </c>
      <c r="C25" s="112"/>
      <c r="D25" s="112"/>
      <c r="E25" s="112">
        <v>140</v>
      </c>
      <c r="F25" s="22"/>
      <c r="G25" s="22">
        <v>200</v>
      </c>
      <c r="H25" s="22"/>
      <c r="I25" s="22"/>
      <c r="J25" s="22"/>
      <c r="K25" s="22"/>
      <c r="L25" s="22"/>
      <c r="M25" s="22"/>
      <c r="N25" s="118"/>
      <c r="O25" s="22"/>
      <c r="P25" s="22"/>
      <c r="Q25" s="22"/>
      <c r="R25" s="22"/>
      <c r="S25" s="22"/>
      <c r="T25" s="22"/>
      <c r="U25" s="168"/>
      <c r="V25" s="174"/>
      <c r="W25" s="80">
        <f t="shared" si="1"/>
        <v>200</v>
      </c>
      <c r="X25" s="80">
        <f t="shared" si="0"/>
        <v>140</v>
      </c>
    </row>
    <row r="26" spans="1:24" s="3" customFormat="1" x14ac:dyDescent="0.35">
      <c r="A26" s="164" t="s">
        <v>23</v>
      </c>
      <c r="B26" s="13" t="s">
        <v>8</v>
      </c>
      <c r="C26" s="107"/>
      <c r="D26" s="107"/>
      <c r="E26" s="10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5">
        <f>IFERROR(SUMPRODUCT(C26:T26, C27:T27)/SUM(C26:T26), )</f>
        <v>0</v>
      </c>
      <c r="V26" s="177">
        <f>SUMPRODUCT(--(C26:T26&gt;0))</f>
        <v>0</v>
      </c>
      <c r="W26" s="77">
        <f t="shared" si="1"/>
        <v>0</v>
      </c>
      <c r="X26" s="77">
        <f t="shared" si="0"/>
        <v>0</v>
      </c>
    </row>
    <row r="27" spans="1:24" s="4" customFormat="1" x14ac:dyDescent="0.35">
      <c r="A27" s="164"/>
      <c r="B27" s="13" t="s">
        <v>9</v>
      </c>
      <c r="C27" s="108"/>
      <c r="D27" s="108"/>
      <c r="E27" s="108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5"/>
      <c r="V27" s="178"/>
      <c r="W27" s="77">
        <f t="shared" si="1"/>
        <v>0</v>
      </c>
      <c r="X27" s="77">
        <f t="shared" si="0"/>
        <v>0</v>
      </c>
    </row>
    <row r="28" spans="1:24" s="6" customFormat="1" x14ac:dyDescent="0.35">
      <c r="A28" s="156" t="s">
        <v>24</v>
      </c>
      <c r="B28" s="15" t="s">
        <v>8</v>
      </c>
      <c r="C28" s="23"/>
      <c r="D28" s="23"/>
      <c r="E28" s="23"/>
      <c r="F28" s="23"/>
      <c r="G28" s="23">
        <v>120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168">
        <f>IFERROR(SUMPRODUCT(C28:T28, C29:T29)/SUM(C28:T28), )</f>
        <v>100</v>
      </c>
      <c r="V28" s="173">
        <f>SUMPRODUCT(--(C28:T28&gt;0))</f>
        <v>1</v>
      </c>
      <c r="W28" s="80">
        <f t="shared" si="1"/>
        <v>120</v>
      </c>
      <c r="X28" s="80">
        <f t="shared" si="0"/>
        <v>120</v>
      </c>
    </row>
    <row r="29" spans="1:24" s="7" customFormat="1" x14ac:dyDescent="0.35">
      <c r="A29" s="156"/>
      <c r="B29" s="15" t="s">
        <v>9</v>
      </c>
      <c r="C29" s="24"/>
      <c r="D29" s="24"/>
      <c r="E29" s="24"/>
      <c r="F29" s="24"/>
      <c r="G29" s="24">
        <v>100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68"/>
      <c r="V29" s="174"/>
      <c r="W29" s="80">
        <f t="shared" si="1"/>
        <v>100</v>
      </c>
      <c r="X29" s="80">
        <f t="shared" si="0"/>
        <v>100</v>
      </c>
    </row>
    <row r="30" spans="1:24" s="3" customFormat="1" x14ac:dyDescent="0.35">
      <c r="A30" s="164" t="s">
        <v>25</v>
      </c>
      <c r="B30" s="13" t="s">
        <v>8</v>
      </c>
      <c r="C30" s="107"/>
      <c r="D30" s="107"/>
      <c r="E30" s="107"/>
      <c r="F30" s="16">
        <v>400</v>
      </c>
      <c r="G30" s="16">
        <v>400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5">
        <f>IFERROR(SUMPRODUCT(C30:T30, C31:T31)/SUM(C30:T30), )</f>
        <v>125</v>
      </c>
      <c r="V30" s="177">
        <f>SUMPRODUCT(--(C30:T30&gt;0))</f>
        <v>2</v>
      </c>
      <c r="W30" s="77">
        <f t="shared" si="1"/>
        <v>400</v>
      </c>
      <c r="X30" s="77">
        <f t="shared" si="0"/>
        <v>400</v>
      </c>
    </row>
    <row r="31" spans="1:24" s="4" customFormat="1" x14ac:dyDescent="0.35">
      <c r="A31" s="164"/>
      <c r="B31" s="13" t="s">
        <v>9</v>
      </c>
      <c r="C31" s="115"/>
      <c r="D31" s="115"/>
      <c r="E31" s="115"/>
      <c r="F31" s="116">
        <v>50</v>
      </c>
      <c r="G31" s="116">
        <v>200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65"/>
      <c r="V31" s="178"/>
      <c r="W31" s="77">
        <f t="shared" si="1"/>
        <v>200</v>
      </c>
      <c r="X31" s="77">
        <f t="shared" si="0"/>
        <v>50</v>
      </c>
    </row>
    <row r="32" spans="1:24" s="6" customFormat="1" x14ac:dyDescent="0.35">
      <c r="A32" s="156" t="s">
        <v>26</v>
      </c>
      <c r="B32" s="15" t="s">
        <v>8</v>
      </c>
      <c r="C32" s="111"/>
      <c r="D32" s="111"/>
      <c r="E32" s="111"/>
      <c r="F32" s="21"/>
      <c r="G32" s="21">
        <v>92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68">
        <f>IFERROR(SUMPRODUCT(C32:T32, C33:T33)/SUM(C32:T32), )</f>
        <v>125</v>
      </c>
      <c r="V32" s="173">
        <f>SUMPRODUCT(--(C32:T32&gt;0))</f>
        <v>1</v>
      </c>
      <c r="W32" s="80">
        <f t="shared" si="1"/>
        <v>92</v>
      </c>
      <c r="X32" s="80">
        <f t="shared" si="0"/>
        <v>92</v>
      </c>
    </row>
    <row r="33" spans="1:24" s="7" customFormat="1" x14ac:dyDescent="0.35">
      <c r="A33" s="156"/>
      <c r="B33" s="15" t="s">
        <v>9</v>
      </c>
      <c r="C33" s="112"/>
      <c r="D33" s="112"/>
      <c r="E33" s="112"/>
      <c r="F33" s="22"/>
      <c r="G33" s="22">
        <v>125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168"/>
      <c r="V33" s="174"/>
      <c r="W33" s="80">
        <f t="shared" si="1"/>
        <v>125</v>
      </c>
      <c r="X33" s="80">
        <f t="shared" si="0"/>
        <v>125</v>
      </c>
    </row>
    <row r="34" spans="1:24" s="3" customFormat="1" x14ac:dyDescent="0.35">
      <c r="A34" s="164" t="s">
        <v>98</v>
      </c>
      <c r="B34" s="13" t="s">
        <v>8</v>
      </c>
      <c r="C34" s="107"/>
      <c r="D34" s="107">
        <v>1188</v>
      </c>
      <c r="E34" s="121"/>
      <c r="F34" s="16">
        <v>3000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5">
        <f>IFERROR(SUMPRODUCT(C34:T34, C35:T35)/SUM(C34:T34), )</f>
        <v>36.418338108882523</v>
      </c>
      <c r="V34" s="177">
        <f>SUMPRODUCT(--(C34:T34&gt;0))</f>
        <v>2</v>
      </c>
      <c r="W34" s="77">
        <f t="shared" si="1"/>
        <v>3000</v>
      </c>
      <c r="X34" s="77">
        <f t="shared" si="0"/>
        <v>1188</v>
      </c>
    </row>
    <row r="35" spans="1:24" s="4" customFormat="1" x14ac:dyDescent="0.35">
      <c r="A35" s="164"/>
      <c r="B35" s="13" t="s">
        <v>9</v>
      </c>
      <c r="C35" s="115"/>
      <c r="D35" s="115">
        <v>40</v>
      </c>
      <c r="E35" s="115"/>
      <c r="F35" s="116">
        <v>35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65"/>
      <c r="V35" s="178"/>
      <c r="W35" s="77">
        <f t="shared" si="1"/>
        <v>40</v>
      </c>
      <c r="X35" s="77">
        <f t="shared" si="0"/>
        <v>35</v>
      </c>
    </row>
    <row r="36" spans="1:24" s="6" customFormat="1" x14ac:dyDescent="0.35">
      <c r="A36" s="156" t="s">
        <v>27</v>
      </c>
      <c r="B36" s="15" t="s">
        <v>8</v>
      </c>
      <c r="C36" s="111"/>
      <c r="D36" s="111"/>
      <c r="E36" s="11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168">
        <f>IFERROR(SUMPRODUCT(C36:T36, C37:T37)/SUM(C36:T36), )</f>
        <v>0</v>
      </c>
      <c r="V36" s="173">
        <f>SUMPRODUCT(--(C36:T36&gt;0))</f>
        <v>0</v>
      </c>
      <c r="W36" s="80">
        <f t="shared" si="1"/>
        <v>0</v>
      </c>
      <c r="X36" s="80">
        <f t="shared" si="0"/>
        <v>0</v>
      </c>
    </row>
    <row r="37" spans="1:24" s="7" customFormat="1" x14ac:dyDescent="0.35">
      <c r="A37" s="156"/>
      <c r="B37" s="15" t="s">
        <v>9</v>
      </c>
      <c r="C37" s="112"/>
      <c r="D37" s="112"/>
      <c r="E37" s="11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168"/>
      <c r="V37" s="174"/>
      <c r="W37" s="80">
        <f t="shared" si="1"/>
        <v>0</v>
      </c>
      <c r="X37" s="80">
        <f t="shared" ref="X37:X65" si="4">MIN(C37:T37)</f>
        <v>0</v>
      </c>
    </row>
    <row r="38" spans="1:24" s="3" customFormat="1" x14ac:dyDescent="0.35">
      <c r="A38" s="164" t="s">
        <v>28</v>
      </c>
      <c r="B38" s="13" t="s">
        <v>8</v>
      </c>
      <c r="C38" s="107"/>
      <c r="D38" s="107"/>
      <c r="E38" s="10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5">
        <f>IFERROR(SUMPRODUCT(C38:T38, C39:T39)/SUM(C38:T38), )</f>
        <v>0</v>
      </c>
      <c r="V38" s="177">
        <f>SUMPRODUCT(--(C38:T38&gt;0))</f>
        <v>0</v>
      </c>
      <c r="W38" s="77">
        <f t="shared" si="1"/>
        <v>0</v>
      </c>
      <c r="X38" s="77">
        <f t="shared" si="4"/>
        <v>0</v>
      </c>
    </row>
    <row r="39" spans="1:24" s="4" customFormat="1" x14ac:dyDescent="0.35">
      <c r="A39" s="164"/>
      <c r="B39" s="13" t="s">
        <v>9</v>
      </c>
      <c r="C39" s="108"/>
      <c r="D39" s="108"/>
      <c r="E39" s="108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65"/>
      <c r="V39" s="178"/>
      <c r="W39" s="77">
        <f t="shared" si="1"/>
        <v>0</v>
      </c>
      <c r="X39" s="77">
        <f t="shared" si="4"/>
        <v>0</v>
      </c>
    </row>
    <row r="40" spans="1:24" s="6" customFormat="1" x14ac:dyDescent="0.35">
      <c r="A40" s="156" t="s">
        <v>29</v>
      </c>
      <c r="B40" s="15" t="s">
        <v>8</v>
      </c>
      <c r="C40" s="111"/>
      <c r="D40" s="111">
        <v>1211</v>
      </c>
      <c r="E40" s="111"/>
      <c r="F40" s="21">
        <v>3000</v>
      </c>
      <c r="G40" s="21"/>
      <c r="H40" s="21"/>
      <c r="I40" s="21"/>
      <c r="J40" s="21">
        <v>200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68">
        <f>IFERROR(SUMPRODUCT(C40:T40, C41:T41)/SUM(C40:T40), )</f>
        <v>36.372704602131037</v>
      </c>
      <c r="V40" s="173">
        <f>SUMPRODUCT(--(C40:T40&gt;0))</f>
        <v>3</v>
      </c>
      <c r="W40" s="80">
        <f t="shared" ref="W40:W65" si="5">MAX(C40:T40)</f>
        <v>3000</v>
      </c>
      <c r="X40" s="80">
        <f t="shared" si="4"/>
        <v>200</v>
      </c>
    </row>
    <row r="41" spans="1:24" s="7" customFormat="1" x14ac:dyDescent="0.35">
      <c r="A41" s="156"/>
      <c r="B41" s="15" t="s">
        <v>9</v>
      </c>
      <c r="C41" s="117"/>
      <c r="D41" s="117">
        <v>40</v>
      </c>
      <c r="E41" s="117"/>
      <c r="F41" s="118">
        <v>35</v>
      </c>
      <c r="G41" s="118"/>
      <c r="H41" s="118"/>
      <c r="I41" s="118"/>
      <c r="J41" s="118">
        <v>35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68"/>
      <c r="V41" s="174"/>
      <c r="W41" s="80">
        <f t="shared" si="5"/>
        <v>40</v>
      </c>
      <c r="X41" s="80">
        <f t="shared" si="4"/>
        <v>35</v>
      </c>
    </row>
    <row r="42" spans="1:24" s="3" customFormat="1" x14ac:dyDescent="0.35">
      <c r="A42" s="164" t="s">
        <v>30</v>
      </c>
      <c r="B42" s="13" t="s">
        <v>8</v>
      </c>
      <c r="C42" s="107"/>
      <c r="D42" s="107">
        <v>227</v>
      </c>
      <c r="E42" s="107"/>
      <c r="F42" s="16">
        <v>60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5">
        <f>IFERROR(SUMPRODUCT(C42:T42, C43:T43)/SUM(C42:T42), )</f>
        <v>38.954703832752614</v>
      </c>
      <c r="V42" s="177">
        <f>SUMPRODUCT(--(C42:T42&gt;0))</f>
        <v>2</v>
      </c>
      <c r="W42" s="77">
        <f t="shared" si="5"/>
        <v>227</v>
      </c>
      <c r="X42" s="77">
        <f t="shared" si="4"/>
        <v>60</v>
      </c>
    </row>
    <row r="43" spans="1:24" s="4" customFormat="1" x14ac:dyDescent="0.35">
      <c r="A43" s="164"/>
      <c r="B43" s="13" t="s">
        <v>9</v>
      </c>
      <c r="C43" s="115"/>
      <c r="D43" s="115">
        <v>40</v>
      </c>
      <c r="E43" s="115"/>
      <c r="F43" s="116">
        <v>35</v>
      </c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65"/>
      <c r="V43" s="178"/>
      <c r="W43" s="77">
        <f t="shared" si="5"/>
        <v>40</v>
      </c>
      <c r="X43" s="77">
        <f t="shared" si="4"/>
        <v>35</v>
      </c>
    </row>
    <row r="44" spans="1:24" s="6" customFormat="1" x14ac:dyDescent="0.35">
      <c r="A44" s="156" t="s">
        <v>31</v>
      </c>
      <c r="B44" s="15" t="s">
        <v>8</v>
      </c>
      <c r="C44" s="111"/>
      <c r="D44" s="111"/>
      <c r="E44" s="11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168">
        <f>IFERROR(SUMPRODUCT(C44:T44, C45:T45)/SUM(C44:T44), )</f>
        <v>0</v>
      </c>
      <c r="V44" s="173">
        <f>SUMPRODUCT(--(C44:T44&gt;0))</f>
        <v>0</v>
      </c>
      <c r="W44" s="80">
        <f t="shared" si="5"/>
        <v>0</v>
      </c>
      <c r="X44" s="80">
        <f t="shared" si="4"/>
        <v>0</v>
      </c>
    </row>
    <row r="45" spans="1:24" s="7" customFormat="1" x14ac:dyDescent="0.35">
      <c r="A45" s="156"/>
      <c r="B45" s="15" t="s">
        <v>9</v>
      </c>
      <c r="C45" s="112"/>
      <c r="D45" s="112"/>
      <c r="E45" s="11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168"/>
      <c r="V45" s="174"/>
      <c r="W45" s="80">
        <f t="shared" si="5"/>
        <v>0</v>
      </c>
      <c r="X45" s="80">
        <f t="shared" si="4"/>
        <v>0</v>
      </c>
    </row>
    <row r="46" spans="1:24" s="3" customFormat="1" x14ac:dyDescent="0.35">
      <c r="A46" s="164" t="s">
        <v>32</v>
      </c>
      <c r="B46" s="13" t="s">
        <v>8</v>
      </c>
      <c r="C46" s="107"/>
      <c r="D46" s="121"/>
      <c r="E46" s="107"/>
      <c r="F46" s="16">
        <v>20</v>
      </c>
      <c r="G46" s="16">
        <v>80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5">
        <f>IFERROR(SUMPRODUCT(C46:T46, C47:T47)/SUM(C46:T46), )</f>
        <v>167</v>
      </c>
      <c r="V46" s="177">
        <f>SUMPRODUCT(--(C46:T46&gt;0))</f>
        <v>2</v>
      </c>
      <c r="W46" s="77">
        <f t="shared" si="5"/>
        <v>80</v>
      </c>
      <c r="X46" s="77">
        <f t="shared" si="4"/>
        <v>20</v>
      </c>
    </row>
    <row r="47" spans="1:24" s="4" customFormat="1" x14ac:dyDescent="0.35">
      <c r="A47" s="164"/>
      <c r="B47" s="13" t="s">
        <v>9</v>
      </c>
      <c r="C47" s="115"/>
      <c r="D47" s="115"/>
      <c r="E47" s="115"/>
      <c r="F47" s="116">
        <v>35</v>
      </c>
      <c r="G47" s="116">
        <v>200</v>
      </c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65"/>
      <c r="V47" s="178"/>
      <c r="W47" s="77">
        <f t="shared" si="5"/>
        <v>200</v>
      </c>
      <c r="X47" s="77">
        <f t="shared" si="4"/>
        <v>35</v>
      </c>
    </row>
    <row r="48" spans="1:24" s="6" customFormat="1" x14ac:dyDescent="0.35">
      <c r="A48" s="156" t="s">
        <v>33</v>
      </c>
      <c r="B48" s="15" t="s">
        <v>8</v>
      </c>
      <c r="C48" s="111"/>
      <c r="D48" s="111"/>
      <c r="E48" s="11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68">
        <f>IFERROR(SUMPRODUCT(C48:T48, C49:T49)/SUM(C48:T48), )</f>
        <v>0</v>
      </c>
      <c r="V48" s="173">
        <f>SUMPRODUCT(--(C48:T48&gt;0))</f>
        <v>0</v>
      </c>
      <c r="W48" s="80">
        <f t="shared" si="5"/>
        <v>0</v>
      </c>
      <c r="X48" s="80">
        <f t="shared" si="4"/>
        <v>0</v>
      </c>
    </row>
    <row r="49" spans="1:24" s="7" customFormat="1" x14ac:dyDescent="0.35">
      <c r="A49" s="156"/>
      <c r="B49" s="15" t="s">
        <v>9</v>
      </c>
      <c r="C49" s="112"/>
      <c r="D49" s="112"/>
      <c r="E49" s="11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168"/>
      <c r="V49" s="174"/>
      <c r="W49" s="80">
        <f t="shared" si="5"/>
        <v>0</v>
      </c>
      <c r="X49" s="80">
        <f t="shared" si="4"/>
        <v>0</v>
      </c>
    </row>
    <row r="50" spans="1:24" s="3" customFormat="1" x14ac:dyDescent="0.35">
      <c r="A50" s="164" t="s">
        <v>34</v>
      </c>
      <c r="B50" s="13" t="s">
        <v>8</v>
      </c>
      <c r="C50" s="107"/>
      <c r="D50" s="107">
        <v>10</v>
      </c>
      <c r="E50" s="107"/>
      <c r="F50" s="16">
        <v>60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5">
        <f>IFERROR(SUMPRODUCT(C50:T50, C51:T51)/SUM(C50:T50), )</f>
        <v>35.714285714285715</v>
      </c>
      <c r="V50" s="177">
        <f>SUMPRODUCT(--(C50:T50&gt;0))</f>
        <v>2</v>
      </c>
      <c r="W50" s="77">
        <f t="shared" si="5"/>
        <v>60</v>
      </c>
      <c r="X50" s="77">
        <f t="shared" si="4"/>
        <v>10</v>
      </c>
    </row>
    <row r="51" spans="1:24" s="4" customFormat="1" x14ac:dyDescent="0.35">
      <c r="A51" s="164"/>
      <c r="B51" s="13" t="s">
        <v>9</v>
      </c>
      <c r="C51" s="115"/>
      <c r="D51" s="115">
        <v>40</v>
      </c>
      <c r="E51" s="115"/>
      <c r="F51" s="116">
        <v>35</v>
      </c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65"/>
      <c r="V51" s="178"/>
      <c r="W51" s="77">
        <f t="shared" si="5"/>
        <v>40</v>
      </c>
      <c r="X51" s="77">
        <f t="shared" si="4"/>
        <v>35</v>
      </c>
    </row>
    <row r="52" spans="1:24" s="6" customFormat="1" x14ac:dyDescent="0.35">
      <c r="A52" s="156" t="s">
        <v>35</v>
      </c>
      <c r="B52" s="15" t="s">
        <v>8</v>
      </c>
      <c r="C52" s="111"/>
      <c r="D52" s="111">
        <v>1976</v>
      </c>
      <c r="E52" s="122"/>
      <c r="F52" s="21">
        <v>500</v>
      </c>
      <c r="G52" s="21"/>
      <c r="H52" s="21">
        <v>2000</v>
      </c>
      <c r="I52" s="124"/>
      <c r="J52" s="21"/>
      <c r="K52" s="21"/>
      <c r="L52" s="21"/>
      <c r="M52" s="21"/>
      <c r="N52" s="21"/>
      <c r="O52" s="124"/>
      <c r="P52" s="21"/>
      <c r="Q52" s="21"/>
      <c r="R52" s="21"/>
      <c r="S52" s="21"/>
      <c r="T52" s="21"/>
      <c r="U52" s="168">
        <f>IFERROR(SUMPRODUCT(C52:T52, C53:T53)/SUM(C52:T52), )</f>
        <v>14.422698838248436</v>
      </c>
      <c r="V52" s="173">
        <f>SUMPRODUCT(--(C52:T52&gt;0))</f>
        <v>3</v>
      </c>
      <c r="W52" s="80">
        <f t="shared" si="5"/>
        <v>2000</v>
      </c>
      <c r="X52" s="80">
        <f t="shared" si="4"/>
        <v>500</v>
      </c>
    </row>
    <row r="53" spans="1:24" s="7" customFormat="1" x14ac:dyDescent="0.35">
      <c r="A53" s="156"/>
      <c r="B53" s="15" t="s">
        <v>9</v>
      </c>
      <c r="C53" s="117"/>
      <c r="D53" s="117">
        <v>18.5</v>
      </c>
      <c r="E53" s="117"/>
      <c r="F53" s="118"/>
      <c r="G53" s="118"/>
      <c r="H53" s="118">
        <v>14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68"/>
      <c r="V53" s="174"/>
      <c r="W53" s="80">
        <f t="shared" si="5"/>
        <v>18.5</v>
      </c>
      <c r="X53" s="80">
        <f t="shared" si="4"/>
        <v>14</v>
      </c>
    </row>
    <row r="54" spans="1:24" s="3" customFormat="1" x14ac:dyDescent="0.35">
      <c r="A54" s="164" t="s">
        <v>36</v>
      </c>
      <c r="B54" s="13" t="s">
        <v>8</v>
      </c>
      <c r="C54" s="107"/>
      <c r="D54" s="107"/>
      <c r="E54" s="107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5">
        <f>IFERROR(SUMPRODUCT(C54:T54, C55:T55)/SUM(C54:T54), )</f>
        <v>0</v>
      </c>
      <c r="V54" s="177">
        <f>SUMPRODUCT(--(C54:T54&gt;0))</f>
        <v>0</v>
      </c>
      <c r="W54" s="77">
        <f t="shared" si="5"/>
        <v>0</v>
      </c>
      <c r="X54" s="77">
        <f t="shared" si="4"/>
        <v>0</v>
      </c>
    </row>
    <row r="55" spans="1:24" s="4" customFormat="1" x14ac:dyDescent="0.35">
      <c r="A55" s="164"/>
      <c r="B55" s="13" t="s">
        <v>9</v>
      </c>
      <c r="C55" s="108"/>
      <c r="D55" s="108"/>
      <c r="E55" s="108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65"/>
      <c r="V55" s="178"/>
      <c r="W55" s="77">
        <f t="shared" si="5"/>
        <v>0</v>
      </c>
      <c r="X55" s="77">
        <f t="shared" si="4"/>
        <v>0</v>
      </c>
    </row>
    <row r="56" spans="1:24" s="6" customFormat="1" x14ac:dyDescent="0.35">
      <c r="A56" s="179" t="s">
        <v>37</v>
      </c>
      <c r="B56" s="15" t="s">
        <v>8</v>
      </c>
      <c r="C56" s="111"/>
      <c r="D56" s="111"/>
      <c r="E56" s="11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181">
        <f>IFERROR(SUMPRODUCT(C56:T56, C57:T57)/SUM(C56:T56), )</f>
        <v>0</v>
      </c>
      <c r="V56" s="173">
        <f>SUMPRODUCT(--(C56:T56&gt;0))</f>
        <v>0</v>
      </c>
      <c r="W56" s="80">
        <f t="shared" si="5"/>
        <v>0</v>
      </c>
      <c r="X56" s="80">
        <f t="shared" si="4"/>
        <v>0</v>
      </c>
    </row>
    <row r="57" spans="1:24" s="7" customFormat="1" x14ac:dyDescent="0.35">
      <c r="A57" s="180"/>
      <c r="B57" s="15" t="s">
        <v>9</v>
      </c>
      <c r="C57" s="112"/>
      <c r="D57" s="112"/>
      <c r="E57" s="11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182"/>
      <c r="V57" s="174"/>
      <c r="W57" s="80">
        <f t="shared" si="5"/>
        <v>0</v>
      </c>
      <c r="X57" s="80">
        <f t="shared" si="4"/>
        <v>0</v>
      </c>
    </row>
    <row r="58" spans="1:24" s="3" customFormat="1" x14ac:dyDescent="0.35">
      <c r="A58" s="164" t="s">
        <v>38</v>
      </c>
      <c r="B58" s="13" t="s">
        <v>8</v>
      </c>
      <c r="C58" s="107"/>
      <c r="D58" s="107">
        <v>656</v>
      </c>
      <c r="E58" s="121"/>
      <c r="F58" s="16">
        <v>1000</v>
      </c>
      <c r="G58" s="16"/>
      <c r="H58" s="16"/>
      <c r="I58" s="16">
        <v>300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5">
        <f>IFERROR(SUMPRODUCT(C58:T58, C59:T59)/SUM(C58:T58), )</f>
        <v>36.676891615541919</v>
      </c>
      <c r="V58" s="177">
        <f>SUMPRODUCT(--(C58:T58&gt;0))</f>
        <v>3</v>
      </c>
      <c r="W58" s="77">
        <f t="shared" si="5"/>
        <v>1000</v>
      </c>
      <c r="X58" s="77">
        <f t="shared" si="4"/>
        <v>300</v>
      </c>
    </row>
    <row r="59" spans="1:24" s="4" customFormat="1" x14ac:dyDescent="0.35">
      <c r="A59" s="164"/>
      <c r="B59" s="13" t="s">
        <v>9</v>
      </c>
      <c r="C59" s="115"/>
      <c r="D59" s="115">
        <v>40</v>
      </c>
      <c r="E59" s="115"/>
      <c r="F59" s="116">
        <v>35</v>
      </c>
      <c r="G59" s="116"/>
      <c r="H59" s="116"/>
      <c r="I59" s="116">
        <v>35</v>
      </c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65"/>
      <c r="V59" s="178"/>
      <c r="W59" s="77">
        <f t="shared" si="5"/>
        <v>40</v>
      </c>
      <c r="X59" s="77">
        <f t="shared" si="4"/>
        <v>35</v>
      </c>
    </row>
    <row r="60" spans="1:24" s="6" customFormat="1" x14ac:dyDescent="0.35">
      <c r="A60" s="156" t="s">
        <v>39</v>
      </c>
      <c r="B60" s="15" t="s">
        <v>8</v>
      </c>
      <c r="C60" s="111"/>
      <c r="D60" s="111">
        <v>1713</v>
      </c>
      <c r="E60" s="122"/>
      <c r="F60" s="21">
        <v>12000</v>
      </c>
      <c r="G60" s="21"/>
      <c r="H60" s="21"/>
      <c r="I60" s="21">
        <v>648</v>
      </c>
      <c r="J60" s="21"/>
      <c r="K60" s="21">
        <v>1500</v>
      </c>
      <c r="L60" s="21"/>
      <c r="M60" s="21"/>
      <c r="N60" s="21"/>
      <c r="O60" s="124"/>
      <c r="P60" s="21"/>
      <c r="Q60" s="21"/>
      <c r="R60" s="21"/>
      <c r="S60" s="21"/>
      <c r="T60" s="21"/>
      <c r="U60" s="168">
        <f>IFERROR(SUMPRODUCT(C60:T60, C61:T61)/SUM(C60:T60), )</f>
        <v>34.340836012861736</v>
      </c>
      <c r="V60" s="173">
        <f>SUMPRODUCT(--(C60:T60&gt;0))</f>
        <v>4</v>
      </c>
      <c r="W60" s="80">
        <f t="shared" si="5"/>
        <v>12000</v>
      </c>
      <c r="X60" s="80">
        <f t="shared" si="4"/>
        <v>648</v>
      </c>
    </row>
    <row r="61" spans="1:24" s="7" customFormat="1" x14ac:dyDescent="0.35">
      <c r="A61" s="156"/>
      <c r="B61" s="15" t="s">
        <v>9</v>
      </c>
      <c r="C61" s="117"/>
      <c r="D61" s="117">
        <v>40</v>
      </c>
      <c r="E61" s="117"/>
      <c r="F61" s="118">
        <v>32</v>
      </c>
      <c r="G61" s="118"/>
      <c r="H61" s="118"/>
      <c r="I61" s="118">
        <v>45</v>
      </c>
      <c r="J61" s="118"/>
      <c r="K61" s="118">
        <v>42</v>
      </c>
      <c r="L61" s="118"/>
      <c r="M61" s="118"/>
      <c r="N61" s="118"/>
      <c r="O61" s="118"/>
      <c r="P61" s="118"/>
      <c r="Q61" s="118"/>
      <c r="R61" s="118"/>
      <c r="S61" s="118"/>
      <c r="T61" s="118"/>
      <c r="U61" s="168"/>
      <c r="V61" s="174"/>
      <c r="W61" s="80">
        <f t="shared" si="5"/>
        <v>45</v>
      </c>
      <c r="X61" s="80">
        <f t="shared" si="4"/>
        <v>32</v>
      </c>
    </row>
    <row r="62" spans="1:24" s="3" customFormat="1" x14ac:dyDescent="0.35">
      <c r="A62" s="164" t="s">
        <v>40</v>
      </c>
      <c r="B62" s="13" t="s">
        <v>8</v>
      </c>
      <c r="C62" s="107">
        <v>816</v>
      </c>
      <c r="D62" s="107">
        <v>641</v>
      </c>
      <c r="E62" s="107"/>
      <c r="F62" s="16">
        <v>100</v>
      </c>
      <c r="G62" s="16"/>
      <c r="H62" s="16"/>
      <c r="I62" s="16">
        <v>700</v>
      </c>
      <c r="J62" s="16"/>
      <c r="K62" s="16">
        <v>1500</v>
      </c>
      <c r="L62" s="16"/>
      <c r="M62" s="16"/>
      <c r="N62" s="16"/>
      <c r="O62" s="16"/>
      <c r="P62" s="16"/>
      <c r="Q62" s="16"/>
      <c r="R62" s="16"/>
      <c r="S62" s="16"/>
      <c r="T62" s="16"/>
      <c r="U62" s="165">
        <f>IFERROR(SUMPRODUCT(C62:T62, C63:T63)/SUM(C62:T62), )</f>
        <v>54.937450093159434</v>
      </c>
      <c r="V62" s="177">
        <f>SUMPRODUCT(--(C62:T62&gt;0))</f>
        <v>5</v>
      </c>
      <c r="W62" s="77">
        <f t="shared" si="5"/>
        <v>1500</v>
      </c>
      <c r="X62" s="77">
        <f t="shared" si="4"/>
        <v>100</v>
      </c>
    </row>
    <row r="63" spans="1:24" s="4" customFormat="1" x14ac:dyDescent="0.35">
      <c r="A63" s="164"/>
      <c r="B63" s="13" t="s">
        <v>9</v>
      </c>
      <c r="C63" s="115">
        <v>110</v>
      </c>
      <c r="D63" s="115">
        <v>40</v>
      </c>
      <c r="E63" s="115"/>
      <c r="F63" s="116">
        <v>35</v>
      </c>
      <c r="G63" s="116"/>
      <c r="H63" s="116"/>
      <c r="I63" s="116">
        <v>35</v>
      </c>
      <c r="J63" s="116"/>
      <c r="K63" s="116">
        <v>42</v>
      </c>
      <c r="L63" s="116"/>
      <c r="M63" s="116"/>
      <c r="N63" s="116"/>
      <c r="O63" s="116"/>
      <c r="P63" s="116"/>
      <c r="Q63" s="116"/>
      <c r="R63" s="116"/>
      <c r="S63" s="116"/>
      <c r="T63" s="116"/>
      <c r="U63" s="165"/>
      <c r="V63" s="178"/>
      <c r="W63" s="77">
        <f t="shared" si="5"/>
        <v>110</v>
      </c>
      <c r="X63" s="77">
        <f t="shared" si="4"/>
        <v>35</v>
      </c>
    </row>
    <row r="64" spans="1:24" s="6" customFormat="1" x14ac:dyDescent="0.35">
      <c r="A64" s="156" t="s">
        <v>41</v>
      </c>
      <c r="B64" s="15" t="s">
        <v>8</v>
      </c>
      <c r="C64" s="111"/>
      <c r="D64" s="111"/>
      <c r="E64" s="111"/>
      <c r="F64" s="21">
        <v>450</v>
      </c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168">
        <f>IFERROR(SUMPRODUCT(C64:T64, C65:T65)/SUM(C64:T64), )</f>
        <v>200</v>
      </c>
      <c r="V64" s="173">
        <f>SUMPRODUCT(--(C64:T64&gt;0))</f>
        <v>1</v>
      </c>
      <c r="W64" s="80">
        <f t="shared" si="5"/>
        <v>450</v>
      </c>
      <c r="X64" s="80">
        <f t="shared" si="4"/>
        <v>450</v>
      </c>
    </row>
    <row r="65" spans="1:24" s="7" customFormat="1" x14ac:dyDescent="0.35">
      <c r="A65" s="156"/>
      <c r="B65" s="15" t="s">
        <v>9</v>
      </c>
      <c r="C65" s="117"/>
      <c r="D65" s="117"/>
      <c r="E65" s="117"/>
      <c r="F65" s="118">
        <v>200</v>
      </c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68"/>
      <c r="V65" s="174"/>
      <c r="W65" s="80">
        <f t="shared" si="5"/>
        <v>200</v>
      </c>
      <c r="X65" s="80">
        <f t="shared" si="4"/>
        <v>200</v>
      </c>
    </row>
    <row r="66" spans="1:24" s="2" customFormat="1" x14ac:dyDescent="0.35">
      <c r="A66" s="11" t="s">
        <v>1</v>
      </c>
      <c r="D66" s="2" t="s">
        <v>6</v>
      </c>
      <c r="E66" s="2" t="s">
        <v>6</v>
      </c>
      <c r="F66" s="2" t="s">
        <v>6</v>
      </c>
      <c r="G66" s="2" t="s">
        <v>6</v>
      </c>
      <c r="H66" s="2" t="s">
        <v>6</v>
      </c>
      <c r="I66" s="2" t="s">
        <v>6</v>
      </c>
      <c r="J66" s="2" t="s">
        <v>6</v>
      </c>
      <c r="K66" s="2" t="s">
        <v>6</v>
      </c>
      <c r="M66" s="2" t="s">
        <v>6</v>
      </c>
      <c r="O66" s="2" t="s">
        <v>6</v>
      </c>
      <c r="P66" s="2" t="s">
        <v>6</v>
      </c>
      <c r="U66" s="9"/>
    </row>
    <row r="67" spans="1:24" s="5" customFormat="1" x14ac:dyDescent="0.35">
      <c r="A67" s="5" t="s">
        <v>42</v>
      </c>
      <c r="D67" s="5" t="s">
        <v>6</v>
      </c>
      <c r="E67" s="5" t="s">
        <v>6</v>
      </c>
      <c r="G67" s="5" t="s">
        <v>6</v>
      </c>
      <c r="H67" s="5" t="s">
        <v>6</v>
      </c>
      <c r="I67" s="5" t="s">
        <v>6</v>
      </c>
      <c r="J67" s="5" t="s">
        <v>7</v>
      </c>
      <c r="K67" s="5" t="s">
        <v>6</v>
      </c>
      <c r="U67" s="83">
        <f>SUM(C67:T67)</f>
        <v>0</v>
      </c>
    </row>
    <row r="68" spans="1:24" s="5" customFormat="1" x14ac:dyDescent="0.35">
      <c r="A68" s="5" t="s">
        <v>43</v>
      </c>
      <c r="C68" s="120">
        <v>0.1</v>
      </c>
      <c r="D68" s="120">
        <v>0.09</v>
      </c>
      <c r="E68" s="120">
        <v>0.6</v>
      </c>
      <c r="F68" s="120"/>
      <c r="G68" s="120">
        <v>0.3</v>
      </c>
      <c r="H68" s="120">
        <v>0.1</v>
      </c>
      <c r="I68" s="120">
        <v>0.13</v>
      </c>
      <c r="J68" s="120">
        <v>0.33</v>
      </c>
      <c r="K68" s="120"/>
      <c r="L68" s="120">
        <v>0.35</v>
      </c>
      <c r="M68" s="120"/>
      <c r="N68" s="120"/>
      <c r="O68" s="120"/>
      <c r="P68" s="120"/>
      <c r="Q68" s="120"/>
      <c r="R68" s="120"/>
      <c r="S68" s="120"/>
      <c r="T68" s="120"/>
      <c r="U68" s="84">
        <f>AVERAGEIF( C70:T70, "&gt;0", C68:T68)</f>
        <v>0.25000000000000006</v>
      </c>
    </row>
    <row r="69" spans="1:24" s="8" customFormat="1" ht="43.5" x14ac:dyDescent="0.35">
      <c r="A69" s="8">
        <v>2022</v>
      </c>
      <c r="B69" s="91" t="s">
        <v>4</v>
      </c>
      <c r="C69" s="119">
        <v>215</v>
      </c>
      <c r="D69" s="119">
        <v>190</v>
      </c>
      <c r="E69" s="119">
        <v>210</v>
      </c>
      <c r="F69" s="119"/>
      <c r="G69" s="119">
        <v>200</v>
      </c>
      <c r="H69" s="119">
        <v>210</v>
      </c>
      <c r="I69" s="119">
        <v>200</v>
      </c>
      <c r="J69" s="119">
        <v>200</v>
      </c>
      <c r="K69" s="119">
        <v>200</v>
      </c>
      <c r="L69" s="119">
        <v>197</v>
      </c>
      <c r="M69" s="119"/>
      <c r="N69" s="119"/>
      <c r="O69" s="119"/>
      <c r="P69" s="119"/>
      <c r="Q69" s="119"/>
      <c r="R69" s="119"/>
      <c r="S69" s="119"/>
      <c r="T69" s="119"/>
      <c r="U69" s="42" t="s">
        <v>5</v>
      </c>
      <c r="V69" s="85">
        <f>IFERROR(SUMPRODUCT(C14:T14, C69:T69)/SUMIF(C69:T69, "&gt;0", C14:T14),0)</f>
        <v>202.88758730763035</v>
      </c>
    </row>
    <row r="70" spans="1:24" s="88" customFormat="1" x14ac:dyDescent="0.35">
      <c r="A70" s="87" t="s">
        <v>2</v>
      </c>
      <c r="C70" s="87">
        <f t="shared" ref="C70:T70" si="6">SUM(--(C5&gt;0), --(C14&gt;0), --(C16&gt;0), --(C18&gt;0), --(C20  + C22&gt;0), --(C24&gt;0), --(C26&gt;0),--(C28&gt;0), --(C30&gt;0), --(C32&gt;0),--(C32&gt;0), --(C34&gt;0), --(C36&gt;0), --(C38&gt;0), --(C40&gt;0), --(C42&gt;0),--(C44&gt;0), --(C46&gt;0), --(C48&gt;0),--(C50&gt;0), --(C52 + C54&gt;0),--(C56&gt;0),--(C58&gt;0), --(C60&gt;0), --(C62+ C64&gt;0))</f>
        <v>2</v>
      </c>
      <c r="D70" s="87">
        <f t="shared" si="6"/>
        <v>9</v>
      </c>
      <c r="E70" s="87">
        <f t="shared" si="6"/>
        <v>4</v>
      </c>
      <c r="F70" s="87">
        <f t="shared" si="6"/>
        <v>12</v>
      </c>
      <c r="G70" s="87">
        <f t="shared" si="6"/>
        <v>7</v>
      </c>
      <c r="H70" s="87">
        <f t="shared" si="6"/>
        <v>3</v>
      </c>
      <c r="I70" s="87">
        <f t="shared" si="6"/>
        <v>4</v>
      </c>
      <c r="J70" s="87">
        <f t="shared" si="6"/>
        <v>2</v>
      </c>
      <c r="K70" s="87">
        <f t="shared" si="6"/>
        <v>3</v>
      </c>
      <c r="L70" s="87">
        <f t="shared" si="6"/>
        <v>1</v>
      </c>
      <c r="M70" s="87">
        <f t="shared" si="6"/>
        <v>0</v>
      </c>
      <c r="N70" s="87">
        <f t="shared" si="6"/>
        <v>0</v>
      </c>
      <c r="O70" s="87">
        <f t="shared" si="6"/>
        <v>0</v>
      </c>
      <c r="P70" s="87">
        <f t="shared" si="6"/>
        <v>0</v>
      </c>
      <c r="Q70" s="87">
        <f t="shared" si="6"/>
        <v>0</v>
      </c>
      <c r="R70" s="87">
        <f t="shared" si="6"/>
        <v>0</v>
      </c>
      <c r="S70" s="87">
        <f t="shared" si="6"/>
        <v>0</v>
      </c>
      <c r="T70" s="87">
        <f t="shared" si="6"/>
        <v>0</v>
      </c>
      <c r="U70" s="89">
        <f>AVERAGEIF(C70:T70,"&gt;0")</f>
        <v>4.7</v>
      </c>
      <c r="V70" s="90"/>
    </row>
    <row r="71" spans="1:24" s="91" customFormat="1" x14ac:dyDescent="0.35">
      <c r="A71" s="91" t="s">
        <v>44</v>
      </c>
      <c r="U71" s="42"/>
    </row>
    <row r="75" spans="1:24" x14ac:dyDescent="0.35">
      <c r="A75" s="1" t="s">
        <v>101</v>
      </c>
    </row>
    <row r="76" spans="1:24" x14ac:dyDescent="0.35">
      <c r="B76" s="1" t="s">
        <v>102</v>
      </c>
      <c r="E76" s="1">
        <v>692</v>
      </c>
    </row>
    <row r="77" spans="1:24" x14ac:dyDescent="0.35">
      <c r="E77" s="1">
        <v>60</v>
      </c>
    </row>
    <row r="78" spans="1:24" x14ac:dyDescent="0.35">
      <c r="B78" s="1" t="s">
        <v>103</v>
      </c>
      <c r="D78" s="1">
        <v>438</v>
      </c>
    </row>
    <row r="79" spans="1:24" x14ac:dyDescent="0.35">
      <c r="D79" s="1">
        <v>40</v>
      </c>
    </row>
  </sheetData>
  <mergeCells count="96">
    <mergeCell ref="A64:A65"/>
    <mergeCell ref="U64:U65"/>
    <mergeCell ref="V64:V65"/>
    <mergeCell ref="A60:A61"/>
    <mergeCell ref="U60:U61"/>
    <mergeCell ref="V60:V61"/>
    <mergeCell ref="A62:A63"/>
    <mergeCell ref="U62:U63"/>
    <mergeCell ref="V62:V63"/>
    <mergeCell ref="U58:U59"/>
    <mergeCell ref="V58:V59"/>
    <mergeCell ref="A52:A53"/>
    <mergeCell ref="U52:U53"/>
    <mergeCell ref="V52:V53"/>
    <mergeCell ref="A54:A55"/>
    <mergeCell ref="U54:U55"/>
    <mergeCell ref="V54:V55"/>
    <mergeCell ref="A56:A57"/>
    <mergeCell ref="U56:U57"/>
    <mergeCell ref="V56:V57"/>
    <mergeCell ref="A58:A59"/>
    <mergeCell ref="A48:A49"/>
    <mergeCell ref="U48:U49"/>
    <mergeCell ref="V48:V49"/>
    <mergeCell ref="A50:A51"/>
    <mergeCell ref="U50:U51"/>
    <mergeCell ref="V50:V51"/>
    <mergeCell ref="A32:A33"/>
    <mergeCell ref="A44:A45"/>
    <mergeCell ref="U44:U45"/>
    <mergeCell ref="V44:V45"/>
    <mergeCell ref="A46:A47"/>
    <mergeCell ref="U46:U47"/>
    <mergeCell ref="V46:V47"/>
    <mergeCell ref="V26:V27"/>
    <mergeCell ref="A42:A43"/>
    <mergeCell ref="U42:U43"/>
    <mergeCell ref="V42:V43"/>
    <mergeCell ref="V30:V31"/>
    <mergeCell ref="V32:V33"/>
    <mergeCell ref="V34:V35"/>
    <mergeCell ref="V36:V37"/>
    <mergeCell ref="V38:V39"/>
    <mergeCell ref="V40:V41"/>
    <mergeCell ref="U40:U41"/>
    <mergeCell ref="A38:A39"/>
    <mergeCell ref="A40:A41"/>
    <mergeCell ref="A36:A37"/>
    <mergeCell ref="A34:A35"/>
    <mergeCell ref="A30:A31"/>
    <mergeCell ref="V28:V29"/>
    <mergeCell ref="U32:U33"/>
    <mergeCell ref="U34:U35"/>
    <mergeCell ref="U36:U37"/>
    <mergeCell ref="U38:U39"/>
    <mergeCell ref="U30:U31"/>
    <mergeCell ref="V24:V25"/>
    <mergeCell ref="U8:U9"/>
    <mergeCell ref="U10:U11"/>
    <mergeCell ref="U14:U15"/>
    <mergeCell ref="V14:V15"/>
    <mergeCell ref="U12:U13"/>
    <mergeCell ref="U16:U17"/>
    <mergeCell ref="V12:V13"/>
    <mergeCell ref="V16:V17"/>
    <mergeCell ref="V18:V19"/>
    <mergeCell ref="V20:V21"/>
    <mergeCell ref="V22:V23"/>
    <mergeCell ref="U26:U27"/>
    <mergeCell ref="U28:U29"/>
    <mergeCell ref="A18:A19"/>
    <mergeCell ref="A20:A21"/>
    <mergeCell ref="A22:A23"/>
    <mergeCell ref="A24:A25"/>
    <mergeCell ref="A26:A27"/>
    <mergeCell ref="U20:U21"/>
    <mergeCell ref="U22:U23"/>
    <mergeCell ref="U24:U25"/>
    <mergeCell ref="U18:U19"/>
    <mergeCell ref="A28:A29"/>
    <mergeCell ref="A16:A17"/>
    <mergeCell ref="A14:A15"/>
    <mergeCell ref="X3:X4"/>
    <mergeCell ref="A3:B3"/>
    <mergeCell ref="A4:B4"/>
    <mergeCell ref="U3:U4"/>
    <mergeCell ref="V3:V4"/>
    <mergeCell ref="W3:W4"/>
    <mergeCell ref="A5:A6"/>
    <mergeCell ref="A8:A9"/>
    <mergeCell ref="A10:A11"/>
    <mergeCell ref="A12:A13"/>
    <mergeCell ref="U5:U6"/>
    <mergeCell ref="V5:V6"/>
    <mergeCell ref="V8:V9"/>
    <mergeCell ref="V10:V11"/>
  </mergeCells>
  <phoneticPr fontId="19" type="noConversion"/>
  <pageMargins left="0.7" right="0.7" top="0.75" bottom="0.75" header="0.3" footer="0.3"/>
  <pageSetup fitToHeight="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Individual Responses</vt:lpstr>
    </vt:vector>
  </TitlesOfParts>
  <Company>ISU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</dc:creator>
  <cp:lastModifiedBy>Brooke Palmer</cp:lastModifiedBy>
  <cp:lastPrinted>2018-12-11T20:33:20Z</cp:lastPrinted>
  <dcterms:created xsi:type="dcterms:W3CDTF">2015-08-06T17:55:14Z</dcterms:created>
  <dcterms:modified xsi:type="dcterms:W3CDTF">2022-01-05T00:40:26Z</dcterms:modified>
  <cp:contentStatus/>
</cp:coreProperties>
</file>